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0\4TO TRIM\"/>
    </mc:Choice>
  </mc:AlternateContent>
  <bookViews>
    <workbookView xWindow="0" yWindow="0" windowWidth="28800" windowHeight="12345" activeTab="8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ESF'!$B$1:$M$81</definedName>
    <definedName name="_xlnm.Print_Area" localSheetId="1">'F2. IADPyOP'!$B$1:$J$41</definedName>
    <definedName name="_xlnm.Print_Area" localSheetId="2">'F3. IAODF'!$A$1:$M$24</definedName>
    <definedName name="_xlnm.Print_Area" localSheetId="3">'F4. BALPRESUP'!$D$3:$G$63</definedName>
    <definedName name="_xlnm.Print_Area" localSheetId="4">'F5. EAID'!$B$1:$H$73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62913"/>
</workbook>
</file>

<file path=xl/calcChain.xml><?xml version="1.0" encoding="utf-8"?>
<calcChain xmlns="http://schemas.openxmlformats.org/spreadsheetml/2006/main">
  <c r="H59" i="7" l="1"/>
  <c r="G59" i="7"/>
  <c r="F59" i="7"/>
  <c r="E59" i="7"/>
  <c r="D59" i="7"/>
  <c r="H26" i="7"/>
  <c r="G26" i="7"/>
  <c r="G21" i="7" s="1"/>
  <c r="F26" i="7"/>
  <c r="E26" i="7"/>
  <c r="E21" i="7" s="1"/>
  <c r="D26" i="7"/>
  <c r="D21" i="7" s="1"/>
  <c r="D12" i="7"/>
  <c r="E12" i="7"/>
  <c r="F12" i="7"/>
  <c r="G12" i="7"/>
  <c r="H12" i="7"/>
  <c r="H21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F99" i="4"/>
  <c r="F98" i="4"/>
  <c r="F88" i="4"/>
  <c r="F33" i="4"/>
  <c r="F31" i="4"/>
  <c r="F28" i="4"/>
  <c r="F12" i="4"/>
  <c r="E64" i="3"/>
  <c r="F64" i="3"/>
  <c r="G64" i="3"/>
  <c r="D64" i="3"/>
  <c r="D66" i="3"/>
  <c r="F21" i="7" l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D23" i="8" l="1"/>
  <c r="G23" i="8"/>
  <c r="F23" i="8"/>
  <c r="F22" i="8" s="1"/>
  <c r="G54" i="7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F104" i="4"/>
  <c r="I104" i="4" s="1"/>
  <c r="F105" i="4"/>
  <c r="I105" i="4" s="1"/>
  <c r="I106" i="4"/>
  <c r="F107" i="4"/>
  <c r="I107" i="4" s="1"/>
  <c r="I108" i="4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F96" i="4"/>
  <c r="I96" i="4" s="1"/>
  <c r="F97" i="4"/>
  <c r="I97" i="4" s="1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F32" i="4"/>
  <c r="I32" i="4" s="1"/>
  <c r="I33" i="4"/>
  <c r="F34" i="4"/>
  <c r="I34" i="4" s="1"/>
  <c r="F35" i="4"/>
  <c r="I35" i="4" s="1"/>
  <c r="F36" i="4"/>
  <c r="I36" i="4" s="1"/>
  <c r="F37" i="4"/>
  <c r="I37" i="4" s="1"/>
  <c r="F38" i="4"/>
  <c r="I38" i="4" s="1"/>
  <c r="F30" i="4"/>
  <c r="I30" i="4" s="1"/>
  <c r="F21" i="4"/>
  <c r="I21" i="4" s="1"/>
  <c r="F22" i="4"/>
  <c r="I22" i="4" s="1"/>
  <c r="F23" i="4"/>
  <c r="I23" i="4" s="1"/>
  <c r="F24" i="4"/>
  <c r="I24" i="4" s="1"/>
  <c r="F25" i="4"/>
  <c r="I25" i="4" s="1"/>
  <c r="F26" i="4"/>
  <c r="I26" i="4" s="1"/>
  <c r="F27" i="4"/>
  <c r="I27" i="4" s="1"/>
  <c r="I28" i="4"/>
  <c r="F20" i="4"/>
  <c r="I20" i="4" s="1"/>
  <c r="F13" i="4"/>
  <c r="I13" i="4" s="1"/>
  <c r="F14" i="4"/>
  <c r="I14" i="4" s="1"/>
  <c r="F15" i="4"/>
  <c r="I15" i="4" s="1"/>
  <c r="F16" i="4"/>
  <c r="I16" i="4" s="1"/>
  <c r="F17" i="4"/>
  <c r="I17" i="4" s="1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F39" i="8" s="1"/>
  <c r="K15" i="6"/>
  <c r="K16" i="6"/>
  <c r="E16" i="6" s="1"/>
  <c r="H16" i="6" s="1"/>
  <c r="K13" i="6"/>
  <c r="E13" i="6" s="1"/>
  <c r="H13" i="6" s="1"/>
  <c r="K12" i="6"/>
  <c r="G11" i="7"/>
  <c r="K17" i="6"/>
  <c r="E17" i="6" s="1"/>
  <c r="H17" i="6" s="1"/>
  <c r="K14" i="6"/>
  <c r="E14" i="6" s="1"/>
  <c r="H14" i="6" s="1"/>
  <c r="D35" i="6"/>
  <c r="D37" i="6" s="1"/>
  <c r="D11" i="8"/>
  <c r="G44" i="7"/>
  <c r="F30" i="6"/>
  <c r="F44" i="6" s="1"/>
  <c r="D30" i="6"/>
  <c r="D44" i="6" s="1"/>
  <c r="G10" i="6"/>
  <c r="E21" i="6" l="1"/>
  <c r="H21" i="6" s="1"/>
  <c r="C21" i="6"/>
  <c r="D54" i="7" s="1"/>
  <c r="D44" i="7" s="1"/>
  <c r="G35" i="6"/>
  <c r="G37" i="6" s="1"/>
  <c r="H11" i="7"/>
  <c r="G11" i="8"/>
  <c r="G10" i="8" s="1"/>
  <c r="E15" i="6"/>
  <c r="H15" i="6" s="1"/>
  <c r="E12" i="6"/>
  <c r="K18" i="6"/>
  <c r="G77" i="7"/>
  <c r="G30" i="6"/>
  <c r="E11" i="3"/>
  <c r="E12" i="3"/>
  <c r="E13" i="3"/>
  <c r="E14" i="3"/>
  <c r="H14" i="3" s="1"/>
  <c r="E15" i="3"/>
  <c r="E16" i="3"/>
  <c r="H16" i="3" s="1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H35" i="3" s="1"/>
  <c r="E36" i="3"/>
  <c r="E37" i="3"/>
  <c r="E38" i="3"/>
  <c r="E39" i="3"/>
  <c r="E40" i="3"/>
  <c r="E10" i="3"/>
  <c r="F63" i="3"/>
  <c r="G63" i="3"/>
  <c r="C63" i="3"/>
  <c r="D41" i="3"/>
  <c r="F41" i="3"/>
  <c r="G41" i="3"/>
  <c r="C41" i="3"/>
  <c r="G43" i="6" l="1"/>
  <c r="G44" i="6"/>
  <c r="G82" i="7"/>
  <c r="G81" i="7"/>
  <c r="C23" i="8"/>
  <c r="C22" i="8" s="1"/>
  <c r="C10" i="6"/>
  <c r="H12" i="6"/>
  <c r="H10" i="6" s="1"/>
  <c r="E10" i="6"/>
  <c r="C66" i="3"/>
  <c r="C77" i="3" s="1"/>
  <c r="J65" i="3"/>
  <c r="D77" i="3"/>
  <c r="E63" i="3"/>
  <c r="H63" i="3" s="1"/>
  <c r="H61" i="3"/>
  <c r="E41" i="3"/>
  <c r="H41" i="3" s="1"/>
  <c r="G66" i="3"/>
  <c r="G77" i="3" s="1"/>
  <c r="F66" i="3"/>
  <c r="F77" i="3" s="1"/>
  <c r="D11" i="7" l="1"/>
  <c r="D77" i="7" s="1"/>
  <c r="D81" i="7" s="1"/>
  <c r="C11" i="8"/>
  <c r="C10" i="8" s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s="1"/>
  <c r="H66" i="3" l="1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29" i="4"/>
  <c r="D19" i="4"/>
  <c r="D11" i="4"/>
  <c r="E83" i="4" l="1"/>
  <c r="I83" i="4"/>
  <c r="F83" i="4"/>
  <c r="H83" i="4"/>
  <c r="G83" i="4"/>
  <c r="H10" i="4"/>
  <c r="E10" i="4"/>
  <c r="I10" i="4"/>
  <c r="D83" i="4"/>
  <c r="E55" i="5" s="1"/>
  <c r="E17" i="5" s="1"/>
  <c r="G10" i="4"/>
  <c r="F10" i="4"/>
  <c r="D10" i="4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D21" i="2" s="1"/>
  <c r="L44" i="1"/>
  <c r="L40" i="1"/>
  <c r="L33" i="1"/>
  <c r="L29" i="1"/>
  <c r="L25" i="1"/>
  <c r="L21" i="1"/>
  <c r="L11" i="1"/>
  <c r="L48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F55" i="5" l="1"/>
  <c r="F17" i="5" s="1"/>
  <c r="L60" i="1"/>
  <c r="H21" i="2"/>
  <c r="F156" i="4"/>
  <c r="F160" i="4" s="1"/>
  <c r="G55" i="5"/>
  <c r="G17" i="5" s="1"/>
  <c r="H54" i="7"/>
  <c r="H44" i="7" s="1"/>
  <c r="H77" i="7" s="1"/>
  <c r="H81" i="7" s="1"/>
  <c r="G22" i="8"/>
  <c r="G34" i="8" s="1"/>
  <c r="E156" i="4"/>
  <c r="E160" i="4" s="1"/>
  <c r="H156" i="4"/>
  <c r="H160" i="4" s="1"/>
  <c r="I156" i="4"/>
  <c r="I160" i="4" s="1"/>
  <c r="D156" i="4"/>
  <c r="D160" i="4" s="1"/>
  <c r="E45" i="5"/>
  <c r="E16" i="5" s="1"/>
  <c r="G156" i="4"/>
  <c r="G160" i="4" s="1"/>
  <c r="G45" i="5"/>
  <c r="G16" i="5" s="1"/>
  <c r="L77" i="1"/>
  <c r="F49" i="1"/>
  <c r="F64" i="1" s="1"/>
  <c r="M77" i="1"/>
  <c r="E52" i="5"/>
  <c r="E57" i="5" s="1"/>
  <c r="E58" i="5" s="1"/>
  <c r="G49" i="1"/>
  <c r="G64" i="1" s="1"/>
  <c r="F45" i="5"/>
  <c r="F16" i="5" s="1"/>
  <c r="F52" i="5"/>
  <c r="G52" i="5"/>
  <c r="E13" i="5"/>
  <c r="M48" i="1"/>
  <c r="M60" i="1" s="1"/>
  <c r="E42" i="5"/>
  <c r="K9" i="9"/>
  <c r="J9" i="9"/>
  <c r="G35" i="8" l="1"/>
  <c r="G39" i="8"/>
  <c r="H82" i="7"/>
  <c r="F57" i="5"/>
  <c r="F58" i="5" s="1"/>
  <c r="L78" i="1"/>
  <c r="O80" i="1" s="1"/>
  <c r="E11" i="8"/>
  <c r="D10" i="8"/>
  <c r="E11" i="7"/>
  <c r="G57" i="5"/>
  <c r="G58" i="5" s="1"/>
  <c r="E23" i="8"/>
  <c r="D22" i="8"/>
  <c r="E54" i="7"/>
  <c r="E44" i="7" s="1"/>
  <c r="M78" i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L21" i="9" l="1"/>
  <c r="D34" i="8"/>
  <c r="D39" i="8" s="1"/>
  <c r="E77" i="7"/>
  <c r="I26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H25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<sst xmlns="http://schemas.openxmlformats.org/spreadsheetml/2006/main" count="857" uniqueCount="546">
  <si>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</si>
  <si>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</si>
  <si>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</si>
  <si>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</si>
  <si>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</si>
  <si>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</si>
  <si>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</si>
  <si>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</si>
  <si>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</si>
  <si>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</si>
  <si>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</si>
  <si>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</si>
  <si>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</si>
  <si>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</si>
  <si>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</si>
  <si>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</si>
  <si>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</si>
  <si>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</si>
  <si>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</si>
  <si>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</si>
  <si>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</si>
  <si>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</si>
  <si>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</si>
  <si>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</si>
  <si>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</si>
  <si>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</si>
  <si>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</si>
  <si>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</si>
  <si>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</si>
  <si>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</si>
  <si>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</si>
  <si>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</si>
  <si>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</si>
  <si>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</si>
  <si>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</si>
  <si>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</si>
  <si>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</si>
  <si>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</si>
  <si>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</si>
  <si>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</si>
  <si>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</si>
  <si>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</si>
  <si>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</si>
  <si>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</si>
  <si>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</si>
  <si>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</si>
  <si>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</si>
  <si>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</si>
  <si>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</si>
  <si>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</si>
  <si>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</si>
  <si>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</si>
  <si>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</si>
  <si>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</si>
  <si>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</si>
  <si>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</si>
  <si>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</si>
  <si>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</si>
  <si>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</si>
  <si>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</si>
  <si>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</si>
  <si>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</si>
  <si>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</si>
  <si>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</si>
  <si>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</si>
  <si>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</si>
  <si>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</si>
  <si>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</si>
  <si>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</si>
  <si>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</si>
  <si>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</si>
  <si>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</si>
  <si>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</si>
  <si>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</si>
  <si>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</si>
  <si>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</si>
  <si>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</si>
  <si>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</si>
  <si>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</si>
  <si>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</si>
  <si>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</si>
  <si>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</si>
  <si>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</si>
  <si>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</si>
  <si>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</si>
  <si>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</si>
  <si>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</si>
  <si>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</si>
  <si>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</si>
  <si>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</si>
  <si>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</si>
  <si>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</si>
  <si>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</si>
  <si>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</si>
  <si>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</si>
  <si>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</si>
  <si>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</si>
  <si>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</si>
  <si>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</si>
  <si>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</si>
  <si>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</si>
  <si>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</si>
  <si>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</si>
  <si>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</si>
  <si>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</si>
  <si>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</si>
  <si>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</si>
  <si>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</si>
  <si>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</si>
  <si>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</si>
  <si>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</si>
  <si>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</si>
  <si>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</si>
  <si>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</si>
  <si>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</si>
  <si>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</si>
  <si>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</si>
  <si>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</si>
  <si>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</si>
  <si>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</si>
  <si>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</si>
  <si>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</si>
  <si>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</si>
  <si>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</si>
  <si>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</si>
  <si>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</si>
  <si>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</si>
  <si>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</si>
  <si>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</si>
  <si>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</si>
  <si>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</si>
  <si>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</si>
  <si>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</si>
  <si>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</si>
  <si>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</si>
  <si>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</si>
  <si>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</si>
  <si>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</si>
  <si>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</si>
  <si>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</si>
  <si>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</si>
  <si>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</si>
  <si>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</si>
  <si>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</si>
  <si>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</si>
  <si>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</si>
  <si>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</si>
  <si>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</si>
  <si>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</si>
  <si>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</si>
  <si>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</si>
  <si>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</si>
  <si>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</si>
  <si>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</si>
  <si>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</si>
  <si>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</si>
  <si>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</si>
  <si>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</si>
  <si>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</si>
  <si>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</si>
  <si>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</si>
  <si>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</si>
  <si>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</si>
  <si>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</si>
  <si>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</si>
  <si>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</si>
  <si>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</si>
  <si>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</si>
  <si>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</si>
  <si>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</si>
  <si>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</si>
  <si>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</si>
  <si>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</si>
  <si>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</si>
  <si>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</si>
  <si>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</si>
  <si>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</si>
  <si>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</si>
  <si>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</si>
  <si>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</si>
  <si>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</si>
  <si>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</si>
  <si>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</si>
  <si>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</si>
  <si>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</si>
  <si>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</si>
  <si>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</si>
  <si>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</si>
  <si>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</si>
  <si>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</si>
  <si>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</si>
  <si>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</si>
  <si>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</si>
  <si>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</si>
  <si>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</si>
  <si>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</si>
  <si>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</si>
  <si>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</si>
  <si>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</si>
  <si>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</si>
  <si>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</si>
  <si>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</si>
  <si>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</si>
  <si>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</si>
  <si>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</si>
  <si>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</si>
  <si>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</si>
  <si>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</si>
  <si>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</si>
  <si>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</si>
  <si>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</si>
  <si>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</si>
  <si>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</si>
  <si>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</si>
  <si>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</si>
  <si>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</si>
  <si>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</si>
  <si>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</si>
  <si>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</si>
  <si>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</si>
  <si>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</si>
  <si>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</si>
  <si>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</si>
  <si>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</si>
  <si>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</si>
  <si>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</si>
  <si>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</si>
  <si>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</si>
  <si>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</si>
  <si>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</si>
  <si>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</si>
  <si>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</si>
  <si>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</si>
  <si>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</si>
  <si>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</si>
  <si>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</si>
  <si>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</si>
  <si>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</si>
  <si>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</si>
  <si>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</si>
  <si>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</si>
  <si>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</si>
  <si>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</si>
  <si>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</si>
  <si>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</si>
  <si>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</si>
  <si>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</si>
  <si>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</si>
  <si>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</si>
  <si>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</si>
  <si>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</si>
  <si>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</si>
  <si>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</si>
  <si>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</si>
  <si>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</si>
  <si>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</si>
  <si>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</si>
  <si>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</si>
  <si>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</si>
  <si>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</si>
  <si>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</si>
  <si>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</si>
  <si>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</si>
  <si>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</si>
  <si>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</si>
  <si>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</si>
  <si>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</si>
  <si>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</si>
  <si>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</si>
  <si>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</si>
  <si>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</si>
  <si>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</si>
  <si>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</si>
  <si>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</si>
  <si>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</si>
  <si>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</si>
  <si>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</si>
  <si>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</si>
  <si>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</si>
  <si>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</si>
  <si>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</si>
  <si>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</si>
  <si>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</si>
  <si>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</si>
  <si>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</si>
  <si>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</si>
  <si>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</si>
  <si>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</si>
  <si>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</si>
  <si>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</si>
  <si>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</si>
  <si>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</si>
  <si>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</si>
  <si>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</si>
  <si>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</si>
  <si>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</si>
  <si>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</si>
  <si>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</si>
  <si>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</si>
  <si>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</si>
  <si>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</si>
  <si>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</si>
  <si>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</si>
  <si>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</si>
  <si>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</si>
  <si>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</si>
  <si>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</si>
  <si>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</si>
  <si>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</si>
  <si>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</si>
  <si>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</si>
  <si>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</si>
  <si>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</si>
  <si>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</si>
  <si>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</si>
  <si>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</si>
  <si>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</si>
  <si>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</si>
  <si>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</si>
  <si>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</si>
  <si>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</si>
  <si>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</si>
  <si>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</si>
  <si>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</si>
  <si>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</si>
  <si>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</si>
  <si>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</si>
  <si>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</si>
  <si>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</si>
  <si>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</si>
  <si>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</si>
  <si>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</si>
  <si>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</si>
  <si>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</si>
  <si>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</si>
  <si>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</si>
  <si>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</si>
  <si>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</si>
  <si>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</si>
  <si>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</si>
  <si>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</si>
  <si>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</si>
  <si>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</si>
  <si>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</si>
  <si>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</si>
  <si>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</si>
  <si>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</si>
  <si>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</si>
  <si>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</si>
  <si>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</si>
  <si>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</si>
  <si>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</si>
  <si>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</si>
  <si>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</si>
  <si>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</si>
  <si>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</si>
  <si>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</si>
  <si>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</si>
  <si>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</si>
  <si>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</si>
  <si>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</si>
  <si>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</si>
  <si>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</si>
  <si>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</si>
  <si>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</si>
  <si>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</si>
  <si>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</si>
  <si>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</si>
  <si>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</si>
  <si>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</si>
  <si>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</si>
  <si>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</si>
  <si>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</si>
  <si>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</si>
  <si>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</si>
  <si>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</si>
  <si>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</si>
  <si>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</si>
  <si>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</si>
  <si>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</si>
  <si>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</si>
  <si>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</si>
  <si>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</si>
  <si>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</si>
  <si>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</si>
  <si>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</si>
  <si>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</si>
  <si>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</si>
  <si>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</si>
  <si>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</si>
  <si>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</si>
  <si>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</si>
  <si>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</si>
  <si>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</si>
  <si>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</si>
  <si>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</si>
  <si>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</si>
  <si>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</si>
  <si>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</si>
  <si>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</si>
  <si>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</si>
  <si>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</si>
  <si>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</si>
  <si>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</si>
  <si>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</si>
  <si>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</si>
  <si>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</si>
  <si>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</si>
  <si>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</si>
  <si>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</si>
  <si>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</si>
  <si>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</si>
  <si>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</si>
  <si>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</si>
  <si>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</si>
  <si>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</si>
  <si>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</si>
  <si>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</si>
  <si>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</si>
  <si>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</si>
  <si>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</si>
  <si>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</si>
  <si>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</si>
  <si>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</si>
  <si>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</si>
  <si>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</si>
  <si>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</si>
  <si>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</si>
  <si>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</si>
  <si>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</si>
  <si>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</si>
  <si>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</si>
  <si>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</si>
  <si>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</si>
  <si>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</si>
  <si>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</si>
  <si>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</si>
  <si>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</si>
  <si>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</si>
  <si>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</si>
  <si>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</si>
  <si>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</si>
  <si>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</si>
  <si>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</si>
  <si>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</si>
  <si>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</si>
  <si>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</si>
  <si>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</si>
  <si>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</si>
  <si>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</si>
  <si>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</si>
  <si>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</si>
  <si>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</si>
  <si>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</si>
  <si>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</si>
  <si>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</si>
  <si>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</si>
  <si>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</si>
  <si>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</si>
  <si>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</si>
  <si>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</si>
  <si>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</si>
  <si>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</si>
  <si>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</si>
  <si>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</si>
  <si>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</si>
  <si>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</si>
  <si>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</si>
  <si>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</si>
  <si>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</si>
  <si>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</si>
  <si>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</si>
  <si>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</si>
  <si>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</si>
  <si>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</si>
  <si>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</si>
  <si>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</si>
  <si>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</si>
  <si>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</si>
  <si>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</si>
  <si>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</si>
  <si>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</si>
  <si>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</si>
  <si>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</si>
  <si>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</si>
  <si>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</si>
  <si>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</si>
  <si>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</si>
  <si>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</si>
  <si>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</si>
  <si>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</si>
  <si>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</si>
  <si>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</si>
  <si>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</si>
  <si>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</si>
  <si>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</si>
  <si>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</si>
  <si>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</si>
  <si>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</si>
  <si>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</si>
  <si>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</si>
  <si>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</si>
  <si>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</si>
  <si>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</si>
  <si>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</si>
  <si>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</si>
  <si>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</si>
  <si>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</si>
  <si>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</si>
  <si>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</si>
  <si>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</si>
  <si>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</si>
  <si>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</si>
  <si>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</si>
  <si>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</si>
  <si>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</si>
  <si>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</si>
  <si>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</si>
  <si>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</si>
  <si>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</si>
  <si>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</si>
  <si>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</si>
  <si>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</si>
  <si>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</si>
  <si>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</si>
  <si>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</si>
  <si>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</si>
  <si>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</si>
  <si>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</si>
  <si>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</si>
  <si>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</si>
  <si>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</si>
  <si>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Saldo al 31 de diciembre de 2019(d)</t>
  </si>
  <si>
    <t>31 de Diciembre de 2019</t>
  </si>
  <si>
    <t>prima vacacional</t>
  </si>
  <si>
    <t>limpieza abril- junio</t>
  </si>
  <si>
    <t>pasivo telmex</t>
  </si>
  <si>
    <t>Monto pagado de la inversión actualizado al 30 de Septiembre de 2020 (l)</t>
  </si>
  <si>
    <t>Del 1 de Enero al 31 de Diciembre de 2020</t>
  </si>
  <si>
    <t>Al 31 de Diciembre de 2019 y al 31 de Diciembre de 2020</t>
  </si>
  <si>
    <t>31 de Diciembre de 2020</t>
  </si>
  <si>
    <t>Del 1 de Enero al 31 de Diciembre de 2020 (b)</t>
  </si>
  <si>
    <t>del 01 de Enero al 31 de Diciembre de 2020</t>
  </si>
  <si>
    <t>Del 1 de Enero al 31 de Diciembre 2020</t>
  </si>
  <si>
    <t>Monto pagado de la inversión al 31 de Diciembre de 2020 (k)</t>
  </si>
  <si>
    <t>Saldo pendiente por pagar de la inversión al 31 de Diciembre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</si>
</sst>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8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519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1" fillId="0" borderId="11" xfId="0" applyNumberFormat="1" applyFont="1" applyBorder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4" fontId="20" fillId="0" borderId="9" xfId="5" applyNumberFormat="1" applyFont="1" applyFill="1" applyBorder="1" applyAlignment="1">
      <alignment horizontal="right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4" fontId="17" fillId="0" borderId="9" xfId="6" applyNumberFormat="1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4" fontId="17" fillId="0" borderId="14" xfId="6" applyNumberFormat="1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8" fillId="0" borderId="11" xfId="6" applyNumberFormat="1" applyFont="1" applyBorder="1"/>
    <xf numFmtId="4" fontId="8" fillId="0" borderId="10" xfId="6" applyNumberFormat="1" applyFont="1" applyBorder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0" fillId="0" borderId="0" xfId="6" applyFont="1"/>
    <xf numFmtId="0" fontId="31" fillId="0" borderId="16" xfId="6" applyFont="1" applyBorder="1" applyAlignment="1">
      <alignment horizontal="left" vertical="center" wrapText="1"/>
    </xf>
    <xf numFmtId="4" fontId="31" fillId="0" borderId="28" xfId="6" applyNumberFormat="1" applyFont="1" applyBorder="1" applyAlignment="1">
      <alignment vertical="center" wrapText="1"/>
    </xf>
    <xf numFmtId="0" fontId="30" fillId="0" borderId="16" xfId="6" applyFont="1" applyBorder="1" applyAlignment="1">
      <alignment horizontal="left" vertical="center" wrapText="1" indent="2"/>
    </xf>
    <xf numFmtId="4" fontId="30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30" fillId="0" borderId="28" xfId="6" applyNumberFormat="1" applyFont="1" applyBorder="1" applyAlignment="1">
      <alignment horizontal="right"/>
    </xf>
    <xf numFmtId="0" fontId="30" fillId="0" borderId="16" xfId="6" applyFont="1" applyBorder="1" applyAlignment="1">
      <alignment horizontal="left" vertical="center" wrapText="1" indent="4"/>
    </xf>
    <xf numFmtId="0" fontId="30" fillId="0" borderId="16" xfId="6" applyFont="1" applyBorder="1" applyAlignment="1">
      <alignment horizontal="left" vertical="center" wrapText="1"/>
    </xf>
    <xf numFmtId="4" fontId="31" fillId="0" borderId="28" xfId="6" applyNumberFormat="1" applyFont="1" applyBorder="1" applyAlignment="1">
      <alignment horizontal="right" vertical="center" wrapText="1"/>
    </xf>
    <xf numFmtId="4" fontId="31" fillId="0" borderId="23" xfId="6" applyNumberFormat="1" applyFont="1" applyBorder="1" applyAlignment="1">
      <alignment horizontal="right" vertical="center" wrapText="1"/>
    </xf>
    <xf numFmtId="4" fontId="30" fillId="0" borderId="28" xfId="6" applyNumberFormat="1" applyFont="1" applyFill="1" applyBorder="1" applyAlignment="1">
      <alignment horizontal="right" vertical="center" wrapText="1"/>
    </xf>
    <xf numFmtId="0" fontId="30" fillId="0" borderId="16" xfId="6" applyFont="1" applyBorder="1" applyAlignment="1">
      <alignment horizontal="left" vertical="center" wrapText="1" indent="5"/>
    </xf>
    <xf numFmtId="0" fontId="31" fillId="0" borderId="18" xfId="6" applyFont="1" applyBorder="1" applyAlignment="1">
      <alignment horizontal="left" vertical="center" wrapText="1"/>
    </xf>
    <xf numFmtId="4" fontId="31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0" fontId="7" fillId="2" borderId="0" xfId="11" applyFont="1" applyFill="1" applyBorder="1"/>
    <xf numFmtId="4" fontId="7" fillId="0" borderId="28" xfId="11" applyNumberFormat="1" applyFont="1" applyFill="1" applyBorder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4" fontId="17" fillId="0" borderId="28" xfId="11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4" fontId="7" fillId="0" borderId="28" xfId="10" applyNumberFormat="1" applyFont="1" applyFill="1" applyBorder="1" applyAlignment="1">
      <alignment horizontal="right"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4" fontId="17" fillId="0" borderId="30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19" fillId="0" borderId="0" xfId="11" applyFont="1"/>
    <xf numFmtId="0" fontId="19" fillId="0" borderId="0" xfId="11" applyFont="1" applyBorder="1"/>
    <xf numFmtId="0" fontId="32" fillId="0" borderId="0" xfId="0" applyFont="1"/>
    <xf numFmtId="0" fontId="32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32" fillId="0" borderId="0" xfId="0" applyFont="1" applyFill="1"/>
    <xf numFmtId="0" fontId="34" fillId="0" borderId="0" xfId="6" applyFont="1"/>
    <xf numFmtId="0" fontId="33" fillId="0" borderId="0" xfId="6" applyFont="1" applyFill="1" applyBorder="1" applyAlignment="1">
      <alignment horizontal="center" vertical="center"/>
    </xf>
    <xf numFmtId="0" fontId="34" fillId="0" borderId="0" xfId="6" applyFont="1" applyFill="1" applyBorder="1"/>
    <xf numFmtId="4" fontId="17" fillId="0" borderId="11" xfId="6" applyNumberFormat="1" applyFont="1" applyBorder="1"/>
    <xf numFmtId="0" fontId="29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35" fillId="7" borderId="30" xfId="5" applyFont="1" applyFill="1" applyBorder="1" applyAlignment="1">
      <alignment horizontal="center" vertical="center"/>
    </xf>
    <xf numFmtId="0" fontId="35" fillId="7" borderId="30" xfId="5" applyFont="1" applyFill="1" applyBorder="1" applyAlignment="1">
      <alignment horizontal="center" vertical="center" wrapText="1"/>
    </xf>
    <xf numFmtId="0" fontId="31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1" fillId="0" borderId="11" xfId="0" applyNumberFormat="1" applyFont="1" applyFill="1" applyBorder="1"/>
    <xf numFmtId="4" fontId="12" fillId="0" borderId="11" xfId="0" applyNumberFormat="1" applyFont="1" applyFill="1" applyBorder="1"/>
    <xf numFmtId="4" fontId="11" fillId="0" borderId="11" xfId="0" applyNumberFormat="1" applyFont="1" applyBorder="1"/>
    <xf numFmtId="4" fontId="0" fillId="0" borderId="11" xfId="0" applyNumberFormat="1" applyBorder="1" applyAlignment="1"/>
    <xf numFmtId="0" fontId="23" fillId="0" borderId="0" xfId="0" applyFont="1" applyAlignment="1">
      <alignment horizontal="justify" vertical="center"/>
    </xf>
    <xf numFmtId="0" fontId="3" fillId="0" borderId="0" xfId="0" applyFont="1"/>
    <xf numFmtId="0" fontId="23" fillId="6" borderId="23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justify" vertical="center" wrapText="1"/>
    </xf>
    <xf numFmtId="3" fontId="23" fillId="4" borderId="23" xfId="0" applyNumberFormat="1" applyFont="1" applyFill="1" applyBorder="1" applyAlignment="1">
      <alignment wrapText="1"/>
    </xf>
    <xf numFmtId="3" fontId="23" fillId="4" borderId="23" xfId="0" applyNumberFormat="1" applyFont="1" applyFill="1" applyBorder="1" applyAlignment="1">
      <alignment horizontal="right" wrapText="1"/>
    </xf>
    <xf numFmtId="3" fontId="23" fillId="0" borderId="23" xfId="0" applyNumberFormat="1" applyFont="1" applyBorder="1" applyAlignment="1">
      <alignment wrapText="1"/>
    </xf>
    <xf numFmtId="3" fontId="23" fillId="0" borderId="23" xfId="0" applyNumberFormat="1" applyFont="1" applyBorder="1" applyAlignment="1">
      <alignment horizontal="right" wrapText="1"/>
    </xf>
    <xf numFmtId="0" fontId="23" fillId="0" borderId="16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3" fontId="23" fillId="0" borderId="23" xfId="0" applyNumberFormat="1" applyFont="1" applyFill="1" applyBorder="1" applyAlignment="1">
      <alignment wrapText="1"/>
    </xf>
    <xf numFmtId="0" fontId="25" fillId="0" borderId="16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wrapText="1"/>
    </xf>
    <xf numFmtId="3" fontId="25" fillId="0" borderId="23" xfId="0" applyNumberFormat="1" applyFont="1" applyBorder="1" applyAlignment="1">
      <alignment horizontal="right" wrapText="1"/>
    </xf>
    <xf numFmtId="0" fontId="25" fillId="0" borderId="23" xfId="0" applyFont="1" applyFill="1" applyBorder="1" applyAlignment="1">
      <alignment horizontal="justify" vertical="center" wrapText="1"/>
    </xf>
    <xf numFmtId="3" fontId="3" fillId="0" borderId="28" xfId="0" applyNumberFormat="1" applyFont="1" applyFill="1" applyBorder="1" applyAlignment="1"/>
    <xf numFmtId="3" fontId="23" fillId="0" borderId="28" xfId="0" applyNumberFormat="1" applyFont="1" applyFill="1" applyBorder="1" applyAlignment="1">
      <alignment wrapText="1"/>
    </xf>
    <xf numFmtId="3" fontId="23" fillId="0" borderId="23" xfId="0" applyNumberFormat="1" applyFont="1" applyFill="1" applyBorder="1" applyAlignment="1">
      <alignment horizontal="right" wrapText="1"/>
    </xf>
    <xf numFmtId="43" fontId="3" fillId="0" borderId="0" xfId="9" applyFont="1"/>
    <xf numFmtId="167" fontId="38" fillId="0" borderId="23" xfId="9" applyNumberFormat="1" applyFont="1" applyFill="1" applyBorder="1" applyAlignment="1">
      <alignment horizontal="center"/>
    </xf>
    <xf numFmtId="3" fontId="23" fillId="0" borderId="23" xfId="9" applyNumberFormat="1" applyFont="1" applyBorder="1" applyAlignment="1">
      <alignment wrapText="1"/>
    </xf>
    <xf numFmtId="3" fontId="3" fillId="0" borderId="28" xfId="0" applyNumberFormat="1" applyFont="1" applyBorder="1" applyAlignment="1"/>
    <xf numFmtId="3" fontId="23" fillId="0" borderId="28" xfId="9" applyNumberFormat="1" applyFont="1" applyBorder="1" applyAlignment="1">
      <alignment wrapText="1"/>
    </xf>
    <xf numFmtId="167" fontId="38" fillId="0" borderId="0" xfId="9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justify" vertical="center" wrapText="1"/>
    </xf>
    <xf numFmtId="3" fontId="25" fillId="0" borderId="28" xfId="0" applyNumberFormat="1" applyFont="1" applyBorder="1" applyAlignment="1">
      <alignment wrapText="1"/>
    </xf>
    <xf numFmtId="3" fontId="25" fillId="0" borderId="28" xfId="0" applyNumberFormat="1" applyFont="1" applyFill="1" applyBorder="1" applyAlignment="1">
      <alignment wrapText="1"/>
    </xf>
    <xf numFmtId="3" fontId="3" fillId="0" borderId="0" xfId="0" applyNumberFormat="1" applyFont="1" applyAlignment="1"/>
    <xf numFmtId="3" fontId="25" fillId="0" borderId="28" xfId="0" applyNumberFormat="1" applyFont="1" applyFill="1" applyBorder="1" applyAlignment="1">
      <alignment horizontal="right" wrapText="1"/>
    </xf>
    <xf numFmtId="3" fontId="25" fillId="0" borderId="28" xfId="0" applyNumberFormat="1" applyFont="1" applyBorder="1" applyAlignment="1">
      <alignment horizontal="right" wrapText="1"/>
    </xf>
    <xf numFmtId="4" fontId="3" fillId="0" borderId="0" xfId="0" applyNumberFormat="1" applyFont="1"/>
    <xf numFmtId="3" fontId="23" fillId="0" borderId="28" xfId="0" applyNumberFormat="1" applyFont="1" applyBorder="1" applyAlignment="1">
      <alignment wrapText="1"/>
    </xf>
    <xf numFmtId="3" fontId="23" fillId="0" borderId="28" xfId="0" applyNumberFormat="1" applyFont="1" applyBorder="1" applyAlignment="1">
      <alignment horizontal="right"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39" fillId="0" borderId="26" xfId="0" applyNumberFormat="1" applyFont="1" applyBorder="1" applyAlignment="1">
      <alignment wrapText="1"/>
    </xf>
    <xf numFmtId="3" fontId="39" fillId="0" borderId="26" xfId="0" applyNumberFormat="1" applyFont="1" applyBorder="1" applyAlignment="1">
      <alignment horizontal="right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justify" vertical="center" wrapText="1"/>
    </xf>
    <xf numFmtId="0" fontId="25" fillId="0" borderId="28" xfId="0" applyFont="1" applyBorder="1" applyAlignment="1">
      <alignment horizontal="justify" vertical="center" wrapText="1"/>
    </xf>
    <xf numFmtId="43" fontId="23" fillId="0" borderId="28" xfId="9" applyFont="1" applyBorder="1" applyAlignment="1">
      <alignment horizontal="justify" vertical="center" wrapText="1"/>
    </xf>
    <xf numFmtId="0" fontId="23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justify" vertical="center" wrapText="1"/>
    </xf>
    <xf numFmtId="0" fontId="25" fillId="0" borderId="0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23" fillId="4" borderId="23" xfId="0" applyNumberFormat="1" applyFont="1" applyFill="1" applyBorder="1" applyAlignment="1">
      <alignment wrapText="1"/>
    </xf>
    <xf numFmtId="0" fontId="23" fillId="6" borderId="2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3" fontId="23" fillId="0" borderId="23" xfId="0" applyNumberFormat="1" applyFont="1" applyBorder="1" applyAlignment="1">
      <alignment horizontal="right" vertical="center" wrapText="1"/>
    </xf>
    <xf numFmtId="0" fontId="25" fillId="0" borderId="28" xfId="0" applyFont="1" applyBorder="1" applyAlignment="1">
      <alignment horizontal="left" vertical="center" wrapText="1" indent="1"/>
    </xf>
    <xf numFmtId="14" fontId="25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3" fontId="25" fillId="0" borderId="23" xfId="0" applyNumberFormat="1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43" fontId="23" fillId="0" borderId="23" xfId="0" applyNumberFormat="1" applyFont="1" applyBorder="1" applyAlignment="1">
      <alignment horizontal="justify" vertical="center" wrapText="1"/>
    </xf>
    <xf numFmtId="168" fontId="23" fillId="0" borderId="23" xfId="0" applyNumberFormat="1" applyFont="1" applyBorder="1" applyAlignment="1">
      <alignment horizontal="justify" vertical="center" wrapText="1"/>
    </xf>
    <xf numFmtId="0" fontId="25" fillId="0" borderId="28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justify" vertical="center" wrapText="1"/>
    </xf>
    <xf numFmtId="43" fontId="3" fillId="2" borderId="11" xfId="9" applyFont="1" applyFill="1" applyBorder="1"/>
    <xf numFmtId="4" fontId="9" fillId="2" borderId="11" xfId="7" applyNumberFormat="1" applyFont="1" applyFill="1" applyBorder="1"/>
    <xf numFmtId="4" fontId="17" fillId="2" borderId="11" xfId="7" applyNumberFormat="1" applyFont="1" applyFill="1" applyBorder="1"/>
    <xf numFmtId="43" fontId="3" fillId="2" borderId="11" xfId="9" applyNumberFormat="1" applyFont="1" applyFill="1" applyBorder="1"/>
    <xf numFmtId="43" fontId="9" fillId="2" borderId="11" xfId="7" applyNumberFormat="1" applyFont="1" applyFill="1" applyBorder="1"/>
    <xf numFmtId="0" fontId="3" fillId="0" borderId="28" xfId="12" applyFont="1" applyFill="1" applyBorder="1" applyAlignment="1">
      <alignment horizontal="left" vertical="center" indent="2"/>
    </xf>
    <xf numFmtId="0" fontId="18" fillId="0" borderId="0" xfId="10" applyFont="1"/>
    <xf numFmtId="4" fontId="18" fillId="0" borderId="0" xfId="10" applyNumberFormat="1" applyFont="1"/>
    <xf numFmtId="43" fontId="18" fillId="0" borderId="0" xfId="9" applyFont="1"/>
    <xf numFmtId="2" fontId="17" fillId="0" borderId="28" xfId="6" applyNumberFormat="1" applyFont="1" applyBorder="1" applyAlignment="1">
      <alignment horizontal="right" vertical="center"/>
    </xf>
    <xf numFmtId="2" fontId="7" fillId="0" borderId="28" xfId="3" applyNumberFormat="1" applyFont="1" applyBorder="1" applyAlignment="1">
      <alignment horizontal="right"/>
    </xf>
    <xf numFmtId="2" fontId="7" fillId="0" borderId="28" xfId="6" applyNumberFormat="1" applyFont="1" applyBorder="1" applyAlignment="1">
      <alignment horizontal="right" vertical="center"/>
    </xf>
    <xf numFmtId="2" fontId="7" fillId="0" borderId="23" xfId="6" applyNumberFormat="1" applyFont="1" applyBorder="1" applyAlignment="1">
      <alignment horizontal="right" vertical="center"/>
    </xf>
    <xf numFmtId="2" fontId="7" fillId="0" borderId="11" xfId="3" applyNumberFormat="1" applyFont="1" applyBorder="1" applyAlignment="1">
      <alignment horizontal="right"/>
    </xf>
    <xf numFmtId="1" fontId="7" fillId="0" borderId="23" xfId="6" applyNumberFormat="1" applyFont="1" applyBorder="1" applyAlignment="1">
      <alignment horizontal="right" vertical="center"/>
    </xf>
    <xf numFmtId="43" fontId="17" fillId="0" borderId="23" xfId="6" applyNumberFormat="1" applyFont="1" applyBorder="1" applyAlignment="1">
      <alignment horizontal="right" vertical="center"/>
    </xf>
    <xf numFmtId="4" fontId="17" fillId="0" borderId="20" xfId="6" applyNumberFormat="1" applyFont="1" applyBorder="1" applyAlignment="1">
      <alignment horizontal="right" vertical="center"/>
    </xf>
    <xf numFmtId="43" fontId="17" fillId="0" borderId="28" xfId="9" applyFont="1" applyBorder="1" applyAlignment="1">
      <alignment horizontal="right" vertical="center" wrapText="1"/>
    </xf>
    <xf numFmtId="43" fontId="8" fillId="0" borderId="11" xfId="6" applyNumberFormat="1" applyFont="1" applyBorder="1"/>
    <xf numFmtId="0" fontId="44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3" fillId="6" borderId="37" xfId="0" applyFont="1" applyFill="1" applyBorder="1" applyAlignment="1" applyProtection="1">
      <alignment vertical="center"/>
    </xf>
    <xf numFmtId="0" fontId="23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5" fillId="0" borderId="38" xfId="0" applyFont="1" applyFill="1" applyBorder="1" applyAlignment="1" applyProtection="1">
      <alignment horizontal="left" vertical="center" wrapText="1" indent="2"/>
    </xf>
    <xf numFmtId="0" fontId="23" fillId="0" borderId="39" xfId="0" applyFont="1" applyFill="1" applyBorder="1" applyAlignment="1" applyProtection="1">
      <alignment vertical="center" wrapText="1"/>
    </xf>
    <xf numFmtId="0" fontId="25" fillId="0" borderId="38" xfId="0" applyFont="1" applyFill="1" applyBorder="1" applyAlignment="1" applyProtection="1">
      <alignment horizontal="left" vertical="center" wrapText="1" indent="1"/>
    </xf>
    <xf numFmtId="0" fontId="23" fillId="0" borderId="38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horizontal="left" vertical="center" indent="1"/>
    </xf>
    <xf numFmtId="0" fontId="23" fillId="0" borderId="39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vertical="center"/>
    </xf>
    <xf numFmtId="0" fontId="23" fillId="0" borderId="40" xfId="0" applyFont="1" applyFill="1" applyBorder="1" applyAlignment="1" applyProtection="1">
      <alignment vertical="center"/>
    </xf>
    <xf numFmtId="3" fontId="28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7" fillId="0" borderId="28" xfId="9" applyFont="1" applyBorder="1" applyAlignment="1">
      <alignment horizontal="right" vertical="center"/>
    </xf>
    <xf numFmtId="43" fontId="17" fillId="0" borderId="28" xfId="9" applyFont="1" applyBorder="1" applyAlignment="1">
      <alignment horizontal="right" vertical="center"/>
    </xf>
    <xf numFmtId="43" fontId="17" fillId="0" borderId="23" xfId="9" applyFont="1" applyBorder="1" applyAlignment="1">
      <alignment horizontal="right" vertical="center" wrapText="1"/>
    </xf>
    <xf numFmtId="43" fontId="7" fillId="0" borderId="28" xfId="9" applyFont="1" applyBorder="1" applyAlignment="1">
      <alignment horizontal="right"/>
    </xf>
    <xf numFmtId="43" fontId="17" fillId="0" borderId="23" xfId="9" applyFont="1" applyBorder="1" applyAlignment="1">
      <alignment horizontal="right" vertical="center"/>
    </xf>
    <xf numFmtId="43" fontId="7" fillId="0" borderId="23" xfId="9" applyFont="1" applyBorder="1" applyAlignment="1">
      <alignment horizontal="right" vertical="center"/>
    </xf>
    <xf numFmtId="43" fontId="17" fillId="0" borderId="20" xfId="9" applyFont="1" applyBorder="1" applyAlignment="1">
      <alignment horizontal="right" vertical="center"/>
    </xf>
    <xf numFmtId="43" fontId="9" fillId="2" borderId="11" xfId="9" applyFont="1" applyFill="1" applyBorder="1"/>
    <xf numFmtId="2" fontId="9" fillId="2" borderId="11" xfId="9" applyNumberFormat="1" applyFont="1" applyFill="1" applyBorder="1"/>
    <xf numFmtId="0" fontId="45" fillId="0" borderId="0" xfId="0" applyFont="1"/>
    <xf numFmtId="4" fontId="45" fillId="0" borderId="0" xfId="0" applyNumberFormat="1" applyFont="1"/>
    <xf numFmtId="43" fontId="9" fillId="2" borderId="11" xfId="9" applyFont="1" applyFill="1" applyBorder="1" applyAlignment="1">
      <alignment horizontal="right"/>
    </xf>
    <xf numFmtId="0" fontId="19" fillId="0" borderId="0" xfId="11" applyFont="1" applyFill="1"/>
    <xf numFmtId="4" fontId="7" fillId="0" borderId="0" xfId="11" applyNumberFormat="1" applyFont="1" applyFill="1" applyBorder="1"/>
    <xf numFmtId="0" fontId="7" fillId="0" borderId="0" xfId="11" applyFont="1" applyFill="1" applyBorder="1"/>
    <xf numFmtId="0" fontId="7" fillId="0" borderId="0" xfId="11" applyFont="1" applyFill="1" applyAlignment="1">
      <alignment vertical="center"/>
    </xf>
    <xf numFmtId="4" fontId="20" fillId="0" borderId="28" xfId="5" applyNumberFormat="1" applyFont="1" applyFill="1" applyBorder="1" applyAlignment="1">
      <alignment horizontal="right" vertical="center"/>
    </xf>
    <xf numFmtId="4" fontId="8" fillId="0" borderId="11" xfId="6" applyNumberFormat="1" applyFont="1" applyFill="1" applyBorder="1"/>
    <xf numFmtId="4" fontId="18" fillId="0" borderId="28" xfId="11" applyNumberFormat="1" applyFont="1" applyFill="1" applyBorder="1" applyAlignment="1">
      <alignment horizontal="right" vertical="center"/>
    </xf>
    <xf numFmtId="4" fontId="18" fillId="0" borderId="28" xfId="10" applyNumberFormat="1" applyFont="1" applyFill="1" applyBorder="1" applyAlignment="1">
      <alignment horizontal="right" vertical="center"/>
    </xf>
    <xf numFmtId="4" fontId="18" fillId="0" borderId="0" xfId="6" applyNumberFormat="1" applyFont="1"/>
    <xf numFmtId="3" fontId="45" fillId="0" borderId="0" xfId="0" applyNumberFormat="1" applyFont="1"/>
    <xf numFmtId="4" fontId="19" fillId="0" borderId="0" xfId="10" applyNumberFormat="1" applyFont="1"/>
    <xf numFmtId="43" fontId="45" fillId="0" borderId="0" xfId="9" applyFont="1"/>
    <xf numFmtId="0" fontId="18" fillId="0" borderId="0" xfId="11" applyFont="1"/>
    <xf numFmtId="0" fontId="18" fillId="0" borderId="0" xfId="11" applyFont="1" applyBorder="1"/>
    <xf numFmtId="0" fontId="18" fillId="0" borderId="0" xfId="11" applyFont="1" applyFill="1"/>
    <xf numFmtId="0" fontId="18" fillId="0" borderId="0" xfId="11" applyFont="1" applyFill="1" applyBorder="1"/>
    <xf numFmtId="4" fontId="18" fillId="0" borderId="0" xfId="11" applyNumberFormat="1" applyFont="1" applyFill="1" applyBorder="1"/>
    <xf numFmtId="0" fontId="18" fillId="0" borderId="0" xfId="11" applyFont="1" applyFill="1" applyAlignment="1">
      <alignment vertical="center"/>
    </xf>
    <xf numFmtId="0" fontId="18" fillId="0" borderId="0" xfId="11" applyFont="1" applyAlignment="1">
      <alignment vertical="center"/>
    </xf>
    <xf numFmtId="4" fontId="18" fillId="0" borderId="0" xfId="11" applyNumberFormat="1" applyFont="1" applyAlignment="1">
      <alignment vertical="center"/>
    </xf>
    <xf numFmtId="0" fontId="16" fillId="0" borderId="0" xfId="11" applyFont="1" applyAlignment="1">
      <alignment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43" fontId="18" fillId="0" borderId="0" xfId="10" applyNumberFormat="1" applyFont="1"/>
    <xf numFmtId="4" fontId="46" fillId="0" borderId="0" xfId="6" applyNumberFormat="1" applyFont="1"/>
    <xf numFmtId="4" fontId="47" fillId="0" borderId="0" xfId="0" applyNumberFormat="1" applyFont="1"/>
    <xf numFmtId="0" fontId="42" fillId="6" borderId="2" xfId="1" applyFont="1" applyFill="1" applyBorder="1" applyAlignment="1">
      <alignment vertical="center"/>
    </xf>
    <xf numFmtId="0" fontId="42" fillId="6" borderId="35" xfId="1" applyFont="1" applyFill="1" applyBorder="1" applyAlignment="1">
      <alignment vertical="center"/>
    </xf>
    <xf numFmtId="3" fontId="0" fillId="0" borderId="23" xfId="0" applyNumberFormat="1" applyFont="1" applyFill="1" applyBorder="1" applyProtection="1"/>
    <xf numFmtId="3" fontId="23" fillId="6" borderId="43" xfId="0" applyNumberFormat="1" applyFont="1" applyFill="1" applyBorder="1" applyAlignment="1" applyProtection="1">
      <alignment horizontal="center" vertical="center" wrapText="1"/>
    </xf>
    <xf numFmtId="3" fontId="28" fillId="0" borderId="44" xfId="0" applyNumberFormat="1" applyFont="1" applyFill="1" applyBorder="1" applyAlignment="1" applyProtection="1">
      <alignment horizontal="right" wrapText="1"/>
      <protection locked="0"/>
    </xf>
    <xf numFmtId="3" fontId="24" fillId="0" borderId="44" xfId="8" applyNumberFormat="1" applyFont="1" applyFill="1" applyBorder="1" applyAlignment="1" applyProtection="1">
      <alignment horizontal="right" wrapText="1"/>
      <protection locked="0"/>
    </xf>
    <xf numFmtId="3" fontId="24" fillId="0" borderId="44" xfId="0" applyNumberFormat="1" applyFont="1" applyFill="1" applyBorder="1" applyAlignment="1" applyProtection="1">
      <alignment horizontal="right" wrapText="1"/>
      <protection locked="0"/>
    </xf>
    <xf numFmtId="3" fontId="28" fillId="0" borderId="45" xfId="0" applyNumberFormat="1" applyFont="1" applyFill="1" applyBorder="1" applyAlignment="1" applyProtection="1">
      <alignment horizontal="right" wrapText="1"/>
      <protection locked="0"/>
    </xf>
    <xf numFmtId="3" fontId="23" fillId="6" borderId="43" xfId="0" applyNumberFormat="1" applyFont="1" applyFill="1" applyBorder="1" applyAlignment="1" applyProtection="1">
      <alignment horizontal="center" wrapText="1"/>
    </xf>
    <xf numFmtId="3" fontId="28" fillId="0" borderId="44" xfId="0" applyNumberFormat="1" applyFont="1" applyFill="1" applyBorder="1" applyAlignment="1" applyProtection="1">
      <alignment horizontal="right"/>
      <protection locked="0"/>
    </xf>
    <xf numFmtId="3" fontId="24" fillId="0" borderId="44" xfId="0" applyNumberFormat="1" applyFont="1" applyFill="1" applyBorder="1" applyAlignment="1" applyProtection="1">
      <alignment horizontal="right"/>
      <protection locked="0"/>
    </xf>
    <xf numFmtId="3" fontId="28" fillId="0" borderId="45" xfId="0" applyNumberFormat="1" applyFont="1" applyFill="1" applyBorder="1" applyAlignment="1" applyProtection="1">
      <alignment horizontal="right"/>
      <protection locked="0"/>
    </xf>
    <xf numFmtId="3" fontId="24" fillId="0" borderId="44" xfId="0" applyNumberFormat="1" applyFont="1" applyFill="1" applyBorder="1" applyAlignment="1" applyProtection="1">
      <alignment horizontal="right"/>
    </xf>
    <xf numFmtId="3" fontId="28" fillId="0" borderId="46" xfId="0" applyNumberFormat="1" applyFont="1" applyFill="1" applyBorder="1" applyAlignment="1" applyProtection="1">
      <alignment horizontal="right"/>
      <protection locked="0"/>
    </xf>
    <xf numFmtId="0" fontId="17" fillId="0" borderId="0" xfId="6" applyFont="1" applyBorder="1" applyAlignment="1">
      <alignment vertical="center"/>
    </xf>
    <xf numFmtId="0" fontId="7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left" vertical="center" wrapText="1"/>
    </xf>
    <xf numFmtId="1" fontId="7" fillId="0" borderId="28" xfId="3" applyNumberFormat="1" applyFont="1" applyBorder="1" applyAlignment="1">
      <alignment horizontal="right"/>
    </xf>
    <xf numFmtId="43" fontId="17" fillId="0" borderId="28" xfId="6" applyNumberFormat="1" applyFont="1" applyBorder="1" applyAlignment="1">
      <alignment horizontal="right" vertical="center"/>
    </xf>
    <xf numFmtId="1" fontId="7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3" fontId="0" fillId="0" borderId="0" xfId="9" applyFont="1" applyFill="1"/>
    <xf numFmtId="43" fontId="7" fillId="0" borderId="0" xfId="9" applyFont="1" applyFill="1"/>
    <xf numFmtId="0" fontId="45" fillId="0" borderId="0" xfId="0" applyFont="1" applyFill="1"/>
    <xf numFmtId="4" fontId="2" fillId="0" borderId="28" xfId="1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vertical="center" wrapText="1"/>
    </xf>
    <xf numFmtId="0" fontId="23" fillId="0" borderId="16" xfId="0" applyFont="1" applyBorder="1" applyAlignment="1">
      <alignment horizontal="justify" vertical="center" wrapText="1"/>
    </xf>
    <xf numFmtId="0" fontId="23" fillId="0" borderId="23" xfId="0" applyFont="1" applyBorder="1" applyAlignment="1">
      <alignment horizontal="justify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43" fillId="0" borderId="16" xfId="0" applyFont="1" applyBorder="1" applyAlignment="1">
      <alignment horizontal="justify" vertical="center"/>
    </xf>
    <xf numFmtId="0" fontId="43" fillId="0" borderId="23" xfId="0" applyFont="1" applyBorder="1" applyAlignment="1">
      <alignment horizontal="justify" vertical="center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2" fillId="0" borderId="21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3" fillId="6" borderId="16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</xf>
    <xf numFmtId="2" fontId="23" fillId="6" borderId="16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23" xfId="0" applyNumberFormat="1" applyFont="1" applyFill="1" applyBorder="1" applyAlignment="1" applyProtection="1">
      <alignment horizontal="center" vertical="center"/>
    </xf>
    <xf numFmtId="0" fontId="23" fillId="6" borderId="3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42" xfId="0" applyFont="1" applyFill="1" applyBorder="1" applyAlignment="1" applyProtection="1">
      <alignment horizontal="center" vertical="center"/>
    </xf>
    <xf numFmtId="0" fontId="42" fillId="6" borderId="34" xfId="1" applyFont="1" applyFill="1" applyBorder="1" applyAlignment="1">
      <alignment horizontal="center" vertical="center"/>
    </xf>
    <xf numFmtId="0" fontId="42" fillId="6" borderId="2" xfId="1" applyFont="1" applyFill="1" applyBorder="1" applyAlignment="1">
      <alignment horizontal="center" vertical="center"/>
    </xf>
    <xf numFmtId="0" fontId="42" fillId="6" borderId="35" xfId="1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33" fillId="7" borderId="24" xfId="6" applyFont="1" applyFill="1" applyBorder="1" applyAlignment="1">
      <alignment horizontal="center" vertical="center"/>
    </xf>
    <xf numFmtId="0" fontId="33" fillId="7" borderId="27" xfId="6" applyFont="1" applyFill="1" applyBorder="1" applyAlignment="1">
      <alignment horizontal="center" vertical="center"/>
    </xf>
    <xf numFmtId="0" fontId="35" fillId="7" borderId="30" xfId="5" applyFont="1" applyFill="1" applyBorder="1" applyAlignment="1">
      <alignment horizontal="center" vertical="center"/>
    </xf>
    <xf numFmtId="0" fontId="33" fillId="7" borderId="21" xfId="6" applyFont="1" applyFill="1" applyBorder="1" applyAlignment="1">
      <alignment horizontal="center" vertical="center"/>
    </xf>
    <xf numFmtId="0" fontId="33" fillId="7" borderId="29" xfId="6" applyFont="1" applyFill="1" applyBorder="1" applyAlignment="1">
      <alignment horizontal="center" vertical="center"/>
    </xf>
    <xf numFmtId="0" fontId="33" fillId="7" borderId="22" xfId="6" applyFont="1" applyFill="1" applyBorder="1" applyAlignment="1">
      <alignment horizontal="center" vertical="center"/>
    </xf>
    <xf numFmtId="0" fontId="33" fillId="7" borderId="16" xfId="6" applyFont="1" applyFill="1" applyBorder="1" applyAlignment="1">
      <alignment horizontal="center" vertical="center"/>
    </xf>
    <xf numFmtId="0" fontId="33" fillId="7" borderId="0" xfId="6" applyFont="1" applyFill="1" applyBorder="1" applyAlignment="1">
      <alignment horizontal="center" vertical="center"/>
    </xf>
    <xf numFmtId="0" fontId="33" fillId="7" borderId="23" xfId="6" applyFont="1" applyFill="1" applyBorder="1" applyAlignment="1">
      <alignment horizontal="center" vertical="center"/>
    </xf>
    <xf numFmtId="0" fontId="33" fillId="7" borderId="25" xfId="6" applyFont="1" applyFill="1" applyBorder="1" applyAlignment="1">
      <alignment horizontal="center" vertical="center"/>
    </xf>
    <xf numFmtId="0" fontId="33" fillId="7" borderId="17" xfId="6" applyFont="1" applyFill="1" applyBorder="1" applyAlignment="1">
      <alignment horizontal="center" vertical="center"/>
    </xf>
    <xf numFmtId="0" fontId="33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opLeftCell="B28" zoomScaleNormal="100" workbookViewId="0">
      <selection activeCell="K24" sqref="K24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78" t="s">
        <v>523</v>
      </c>
      <c r="F1" s="378"/>
      <c r="G1" s="378"/>
      <c r="H1" s="378"/>
      <c r="I1" s="378"/>
      <c r="J1" s="378"/>
      <c r="K1" s="378"/>
      <c r="L1" s="378"/>
      <c r="M1" s="379"/>
    </row>
    <row r="2" spans="1:13" ht="13.9" customHeight="1">
      <c r="A2" s="98"/>
      <c r="B2" s="166"/>
      <c r="C2" s="167"/>
      <c r="D2" s="167"/>
      <c r="E2" s="376" t="s">
        <v>127</v>
      </c>
      <c r="F2" s="376"/>
      <c r="G2" s="376"/>
      <c r="H2" s="376"/>
      <c r="I2" s="376"/>
      <c r="J2" s="376"/>
      <c r="K2" s="376"/>
      <c r="L2" s="376"/>
      <c r="M2" s="377"/>
    </row>
    <row r="3" spans="1:13" ht="13.9" customHeight="1">
      <c r="A3" s="98"/>
      <c r="B3" s="166"/>
      <c r="C3" s="168"/>
      <c r="D3" s="168"/>
      <c r="E3" s="376" t="s">
        <v>539</v>
      </c>
      <c r="F3" s="376"/>
      <c r="G3" s="376"/>
      <c r="H3" s="376"/>
      <c r="I3" s="376"/>
      <c r="J3" s="376"/>
      <c r="K3" s="376"/>
      <c r="L3" s="376"/>
      <c r="M3" s="377"/>
    </row>
    <row r="4" spans="1:13" ht="14.25" customHeight="1">
      <c r="A4" s="99"/>
      <c r="B4" s="169"/>
      <c r="C4" s="170"/>
      <c r="D4" s="170"/>
      <c r="E4" s="389" t="s">
        <v>4</v>
      </c>
      <c r="F4" s="389"/>
      <c r="G4" s="389"/>
      <c r="H4" s="389"/>
      <c r="I4" s="389"/>
      <c r="J4" s="389"/>
      <c r="K4" s="389"/>
      <c r="L4" s="389"/>
      <c r="M4" s="390"/>
    </row>
    <row r="5" spans="1:13" ht="13.9" hidden="1" customHeight="1">
      <c r="B5" s="95"/>
      <c r="C5" s="96"/>
      <c r="D5" s="96" t="s">
        <v>5</v>
      </c>
      <c r="E5" s="388" t="s">
        <v>4</v>
      </c>
      <c r="F5" s="388"/>
      <c r="G5" s="388"/>
      <c r="H5" s="388"/>
      <c r="I5" s="388"/>
      <c r="J5" s="388"/>
      <c r="K5" s="388"/>
      <c r="L5" s="388"/>
      <c r="M5" s="388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82" t="s">
        <v>128</v>
      </c>
      <c r="D7" s="382"/>
      <c r="E7" s="383"/>
      <c r="F7" s="380" t="s">
        <v>540</v>
      </c>
      <c r="G7" s="374" t="s">
        <v>533</v>
      </c>
      <c r="H7" s="386"/>
      <c r="I7" s="382" t="s">
        <v>128</v>
      </c>
      <c r="J7" s="382"/>
      <c r="K7" s="383"/>
      <c r="L7" s="380" t="s">
        <v>540</v>
      </c>
      <c r="M7" s="374" t="s">
        <v>533</v>
      </c>
    </row>
    <row r="8" spans="1:13" s="19" customFormat="1" ht="15" customHeight="1">
      <c r="A8" s="42"/>
      <c r="B8" s="171"/>
      <c r="C8" s="384"/>
      <c r="D8" s="384"/>
      <c r="E8" s="385"/>
      <c r="F8" s="381"/>
      <c r="G8" s="375"/>
      <c r="H8" s="387"/>
      <c r="I8" s="384"/>
      <c r="J8" s="384"/>
      <c r="K8" s="385"/>
      <c r="L8" s="381"/>
      <c r="M8" s="375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192">
        <f>SUM(F12:F18)</f>
        <v>4190644.18</v>
      </c>
      <c r="G11" s="192">
        <f>SUM(G12:G18)</f>
        <v>3618399.36</v>
      </c>
      <c r="H11" s="35"/>
      <c r="I11" s="9" t="s">
        <v>380</v>
      </c>
      <c r="J11" s="7"/>
      <c r="K11" s="7"/>
      <c r="L11" s="192">
        <f>SUM(L12:L20)</f>
        <v>323927.17000000004</v>
      </c>
      <c r="M11" s="192">
        <f>SUM(M12:M20)</f>
        <v>276781.99</v>
      </c>
    </row>
    <row r="12" spans="1:13">
      <c r="B12" s="14"/>
      <c r="C12" s="10" t="s">
        <v>6</v>
      </c>
      <c r="D12" s="7" t="s">
        <v>3</v>
      </c>
      <c r="E12" s="23"/>
      <c r="F12" s="191">
        <v>0</v>
      </c>
      <c r="G12" s="191"/>
      <c r="H12" s="35"/>
      <c r="I12" s="10" t="s">
        <v>6</v>
      </c>
      <c r="J12" s="7" t="s">
        <v>130</v>
      </c>
      <c r="K12" s="7"/>
      <c r="L12" s="191"/>
      <c r="M12" s="191"/>
    </row>
    <row r="13" spans="1:13">
      <c r="B13" s="14"/>
      <c r="C13" s="10" t="s">
        <v>7</v>
      </c>
      <c r="D13" s="7" t="s">
        <v>2</v>
      </c>
      <c r="E13" s="23"/>
      <c r="F13" s="191">
        <v>4190644.18</v>
      </c>
      <c r="G13" s="191">
        <v>3618399.36</v>
      </c>
      <c r="H13" s="35"/>
      <c r="I13" s="10" t="s">
        <v>7</v>
      </c>
      <c r="J13" s="7" t="s">
        <v>0</v>
      </c>
      <c r="K13" s="7"/>
      <c r="L13" s="191">
        <v>61552.72</v>
      </c>
      <c r="M13" s="191">
        <v>4143.3599999999997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>
        <v>259874.45</v>
      </c>
      <c r="M18" s="191"/>
    </row>
    <row r="19" spans="1:13">
      <c r="B19" s="14"/>
      <c r="C19" s="9" t="s">
        <v>372</v>
      </c>
      <c r="D19" s="7"/>
      <c r="E19" s="23"/>
      <c r="F19" s="192">
        <f>SUM(F20:F26)</f>
        <v>6203.23</v>
      </c>
      <c r="G19" s="192">
        <f>SUM(G20:G26)</f>
        <v>53006.79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2500</v>
      </c>
      <c r="M20" s="191">
        <v>272638.63</v>
      </c>
    </row>
    <row r="21" spans="1:13">
      <c r="B21" s="14"/>
      <c r="C21" s="10" t="s">
        <v>14</v>
      </c>
      <c r="D21" s="7" t="s">
        <v>47</v>
      </c>
      <c r="E21" s="23"/>
      <c r="F21" s="191"/>
      <c r="G21" s="191"/>
      <c r="H21" s="35"/>
      <c r="I21" s="9" t="s">
        <v>381</v>
      </c>
      <c r="J21" s="7"/>
      <c r="K21" s="7"/>
      <c r="L21" s="192">
        <f>SUM(L22:L24)</f>
        <v>0</v>
      </c>
      <c r="M21" s="192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191">
        <v>2500</v>
      </c>
      <c r="G22" s="191">
        <v>49303.56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382</v>
      </c>
      <c r="J25" s="7"/>
      <c r="K25" s="7"/>
      <c r="L25" s="192">
        <f>SUM(L26:L27)</f>
        <v>0</v>
      </c>
      <c r="M25" s="192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373</v>
      </c>
      <c r="D27" s="7"/>
      <c r="E27" s="23"/>
      <c r="F27" s="192">
        <f>SUM(F28:F32)</f>
        <v>62294</v>
      </c>
      <c r="G27" s="192">
        <f>SUM(G28:G32)</f>
        <v>64156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/>
      <c r="G28" s="191">
        <v>1862</v>
      </c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383</v>
      </c>
      <c r="J29" s="9"/>
      <c r="K29" s="9"/>
      <c r="L29" s="192">
        <f>SUM(L30:L32)</f>
        <v>0</v>
      </c>
      <c r="M29" s="192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374</v>
      </c>
      <c r="D33" s="7"/>
      <c r="E33" s="23"/>
      <c r="F33" s="192">
        <f>SUM(F34:F38)</f>
        <v>0</v>
      </c>
      <c r="G33" s="192">
        <f>SUM(G34:G38)</f>
        <v>0</v>
      </c>
      <c r="H33" s="35"/>
      <c r="I33" s="9" t="s">
        <v>384</v>
      </c>
      <c r="J33" s="7"/>
      <c r="K33" s="7"/>
      <c r="L33" s="192">
        <f>SUM(L34:L39)</f>
        <v>0</v>
      </c>
      <c r="M33" s="192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375</v>
      </c>
      <c r="D40" s="7"/>
      <c r="E40" s="23"/>
      <c r="F40" s="192">
        <f>SUM(F41:F42)</f>
        <v>0</v>
      </c>
      <c r="G40" s="192">
        <f>SUM(G41:G42)</f>
        <v>0</v>
      </c>
      <c r="H40" s="35"/>
      <c r="I40" s="9" t="s">
        <v>385</v>
      </c>
      <c r="J40" s="7"/>
      <c r="K40" s="7"/>
      <c r="L40" s="192">
        <f>SUM(L41:L43)</f>
        <v>0</v>
      </c>
      <c r="M40" s="192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376</v>
      </c>
      <c r="D43" s="7"/>
      <c r="E43" s="23"/>
      <c r="F43" s="192">
        <f>SUM(F44:F47)</f>
        <v>0</v>
      </c>
      <c r="G43" s="192">
        <f>SUM(G44:G47)</f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386</v>
      </c>
      <c r="J44" s="7"/>
      <c r="K44" s="7"/>
      <c r="L44" s="192">
        <f>SUM(L45:L47)</f>
        <v>0</v>
      </c>
      <c r="M44" s="192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387</v>
      </c>
      <c r="J48" s="9"/>
      <c r="K48" s="7"/>
      <c r="L48" s="192">
        <f>+L11+L21+L25+L28+L29+L33+L40+L44</f>
        <v>323927.17000000004</v>
      </c>
      <c r="M48" s="192">
        <f>+M11+M21+M25+M28+M29+M33+M40+M44</f>
        <v>276781.99</v>
      </c>
    </row>
    <row r="49" spans="2:13">
      <c r="B49" s="14"/>
      <c r="C49" s="11" t="s">
        <v>377</v>
      </c>
      <c r="D49" s="11"/>
      <c r="E49" s="24"/>
      <c r="F49" s="192">
        <f>+F11+F19+F27+F33+F39+F40+F43</f>
        <v>4259141.41</v>
      </c>
      <c r="G49" s="192">
        <f>+G11+G19+G27+G33+G39+G40+G43</f>
        <v>3735562.15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50746723.840000004</v>
      </c>
      <c r="G54" s="191">
        <v>50731256.950000003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22431983.140000001</v>
      </c>
      <c r="G55" s="191">
        <v>22104979.579999998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1251710.83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-29018533.870000001</v>
      </c>
      <c r="G57" s="191">
        <v>-25470251.039999999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388</v>
      </c>
      <c r="J58" s="7"/>
      <c r="K58" s="9"/>
      <c r="L58" s="192">
        <f>SUM(L51:L56)</f>
        <v>0</v>
      </c>
      <c r="M58" s="192">
        <f>SUM(M51:M56)</f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/>
      <c r="G60" s="191"/>
      <c r="H60" s="35"/>
      <c r="I60" s="12" t="s">
        <v>389</v>
      </c>
      <c r="J60" s="12"/>
      <c r="K60" s="12"/>
      <c r="L60" s="192">
        <f>+L48+L58</f>
        <v>323927.17000000004</v>
      </c>
      <c r="M60" s="192">
        <f>+M48+M58</f>
        <v>276781.99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378</v>
      </c>
      <c r="D62" s="7"/>
      <c r="E62" s="23"/>
      <c r="F62" s="192">
        <f>SUM(F52:F60)</f>
        <v>45547413.939999998</v>
      </c>
      <c r="G62" s="192">
        <f>SUM(G52:G60)</f>
        <v>48617696.32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379</v>
      </c>
      <c r="D64" s="12"/>
      <c r="E64" s="25"/>
      <c r="F64" s="192">
        <f>+F49+F62</f>
        <v>49806555.349999994</v>
      </c>
      <c r="G64" s="192">
        <f>+G49+G62</f>
        <v>52353258.469999999</v>
      </c>
      <c r="H64" s="35"/>
      <c r="I64" s="9" t="s">
        <v>390</v>
      </c>
      <c r="J64" s="7"/>
      <c r="K64" s="7"/>
      <c r="L64" s="192">
        <f>SUM(L65:L67)</f>
        <v>71960193.549999997</v>
      </c>
      <c r="M64" s="192">
        <f>SUM(M65:M67)</f>
        <v>71864193.549999997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71960193.549999997</v>
      </c>
      <c r="M67" s="191">
        <v>71864193.549999997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391</v>
      </c>
      <c r="J68" s="7"/>
      <c r="K68" s="7"/>
      <c r="L68" s="192">
        <f>SUM(L69:L73)</f>
        <v>-22477565.370000001</v>
      </c>
      <c r="M68" s="192">
        <f>SUM(M69:M73)</f>
        <v>-19787717.07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-3016954.87</v>
      </c>
      <c r="M69" s="191">
        <v>-2564516.92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-22918378.879999999</v>
      </c>
      <c r="M70" s="191">
        <v>-20350747.16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3457768.38</v>
      </c>
      <c r="M72" s="191">
        <v>3127547.01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392</v>
      </c>
      <c r="J74" s="3"/>
      <c r="K74" s="3"/>
      <c r="L74" s="192">
        <f>SUM(L75:L76)</f>
        <v>0</v>
      </c>
      <c r="M74" s="192">
        <f>SUM(M75:M76)</f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393</v>
      </c>
      <c r="J77" s="7"/>
      <c r="K77" s="7"/>
      <c r="L77" s="192">
        <f>+L64+L68+L74</f>
        <v>49482628.179999992</v>
      </c>
      <c r="M77" s="192">
        <f>+M64+M68+M74</f>
        <v>52076476.479999997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394</v>
      </c>
      <c r="J78" s="7"/>
      <c r="K78" s="7"/>
      <c r="L78" s="192">
        <f>+L60+L77</f>
        <v>49806555.349999994</v>
      </c>
      <c r="M78" s="192">
        <f>+M60+M77</f>
        <v>52353258.469999999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345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520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73"/>
      <c r="J91" s="373"/>
      <c r="K91" s="373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opLeftCell="A4" zoomScaleNormal="100" workbookViewId="0">
      <selection activeCell="F20" sqref="F20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395</v>
      </c>
      <c r="C1" s="413" t="s">
        <v>396</v>
      </c>
      <c r="D1" s="413"/>
      <c r="E1" s="413"/>
      <c r="F1" s="413"/>
      <c r="G1" s="413"/>
      <c r="H1" s="413"/>
      <c r="I1" s="413"/>
      <c r="J1" s="413"/>
    </row>
    <row r="2" spans="2:13" ht="15.75" thickBot="1">
      <c r="B2" s="414" t="s">
        <v>523</v>
      </c>
      <c r="C2" s="415"/>
      <c r="D2" s="415"/>
      <c r="E2" s="415"/>
      <c r="F2" s="415"/>
      <c r="G2" s="415"/>
      <c r="H2" s="415"/>
      <c r="I2" s="415"/>
      <c r="J2" s="416"/>
    </row>
    <row r="3" spans="2:13" ht="15.75" thickBot="1">
      <c r="B3" s="417" t="s">
        <v>396</v>
      </c>
      <c r="C3" s="418"/>
      <c r="D3" s="418"/>
      <c r="E3" s="418"/>
      <c r="F3" s="418"/>
      <c r="G3" s="418"/>
      <c r="H3" s="418"/>
      <c r="I3" s="418"/>
      <c r="J3" s="419"/>
    </row>
    <row r="4" spans="2:13" ht="15.75" thickBot="1">
      <c r="B4" s="417" t="s">
        <v>541</v>
      </c>
      <c r="C4" s="418"/>
      <c r="D4" s="418"/>
      <c r="E4" s="418"/>
      <c r="F4" s="418"/>
      <c r="G4" s="418"/>
      <c r="H4" s="418"/>
      <c r="I4" s="418"/>
      <c r="J4" s="419"/>
    </row>
    <row r="5" spans="2:13" ht="15.75" thickBot="1">
      <c r="B5" s="417" t="s">
        <v>329</v>
      </c>
      <c r="C5" s="418"/>
      <c r="D5" s="418"/>
      <c r="E5" s="418"/>
      <c r="F5" s="418"/>
      <c r="G5" s="418"/>
      <c r="H5" s="418"/>
      <c r="I5" s="418"/>
      <c r="J5" s="419"/>
    </row>
    <row r="6" spans="2:13" ht="45">
      <c r="B6" s="409" t="s">
        <v>397</v>
      </c>
      <c r="C6" s="410"/>
      <c r="D6" s="405" t="s">
        <v>532</v>
      </c>
      <c r="E6" s="405" t="s">
        <v>398</v>
      </c>
      <c r="F6" s="405" t="s">
        <v>399</v>
      </c>
      <c r="G6" s="405" t="s">
        <v>400</v>
      </c>
      <c r="H6" s="197" t="s">
        <v>401</v>
      </c>
      <c r="I6" s="405" t="s">
        <v>402</v>
      </c>
      <c r="J6" s="405" t="s">
        <v>403</v>
      </c>
    </row>
    <row r="7" spans="2:13" ht="15.75" thickBot="1">
      <c r="B7" s="411"/>
      <c r="C7" s="412"/>
      <c r="D7" s="406"/>
      <c r="E7" s="406"/>
      <c r="F7" s="406"/>
      <c r="G7" s="406"/>
      <c r="H7" s="198" t="s">
        <v>404</v>
      </c>
      <c r="I7" s="406"/>
      <c r="J7" s="406"/>
    </row>
    <row r="8" spans="2:13">
      <c r="B8" s="407"/>
      <c r="C8" s="408"/>
      <c r="D8" s="199"/>
      <c r="E8" s="199"/>
      <c r="F8" s="199"/>
      <c r="G8" s="199"/>
      <c r="H8" s="199"/>
      <c r="I8" s="199"/>
      <c r="J8" s="199"/>
    </row>
    <row r="9" spans="2:13">
      <c r="B9" s="392" t="s">
        <v>405</v>
      </c>
      <c r="C9" s="393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392" t="s">
        <v>406</v>
      </c>
      <c r="C10" s="393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407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408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409</v>
      </c>
      <c r="D13" s="208"/>
      <c r="E13" s="208"/>
      <c r="F13" s="208"/>
      <c r="G13" s="208"/>
      <c r="H13" s="208"/>
      <c r="I13" s="208"/>
      <c r="J13" s="209"/>
    </row>
    <row r="14" spans="2:13">
      <c r="B14" s="392" t="s">
        <v>410</v>
      </c>
      <c r="C14" s="393"/>
      <c r="D14" s="202">
        <f>+D15+D19+D20</f>
        <v>0</v>
      </c>
      <c r="E14" s="202">
        <f>+E15+E19+E20</f>
        <v>0</v>
      </c>
      <c r="F14" s="202">
        <f>+F15+F19+F20</f>
        <v>0</v>
      </c>
      <c r="G14" s="202">
        <f>+G15+G19+G20</f>
        <v>0</v>
      </c>
      <c r="H14" s="202">
        <f>+H15+H19+H20</f>
        <v>0</v>
      </c>
      <c r="I14" s="202">
        <f>+I15+I19+I20</f>
        <v>0</v>
      </c>
      <c r="J14" s="203">
        <f>+J15+J19+J20</f>
        <v>0</v>
      </c>
    </row>
    <row r="15" spans="2:13" ht="28.5">
      <c r="B15" s="204"/>
      <c r="C15" s="210" t="s">
        <v>411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513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514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515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412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413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392" t="s">
        <v>414</v>
      </c>
      <c r="C21" s="393"/>
      <c r="D21" s="248">
        <f>'F1. ESF'!M11</f>
        <v>276781.99</v>
      </c>
      <c r="E21" s="200"/>
      <c r="F21" s="200"/>
      <c r="G21" s="200"/>
      <c r="H21" s="248">
        <f>'F1. ESF'!L48</f>
        <v>323927.17000000004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392" t="s">
        <v>415</v>
      </c>
      <c r="C25" s="393"/>
      <c r="D25" s="248">
        <f>+D9+D21</f>
        <v>276781.99</v>
      </c>
      <c r="E25" s="200"/>
      <c r="F25" s="200"/>
      <c r="G25" s="200">
        <f>+G9+G21</f>
        <v>0</v>
      </c>
      <c r="H25" s="248">
        <f>+H9+H21</f>
        <v>323927.17000000004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392"/>
      <c r="C26" s="393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392" t="s">
        <v>524</v>
      </c>
      <c r="C27" s="393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401"/>
      <c r="C28" s="402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403" t="s">
        <v>416</v>
      </c>
      <c r="C29" s="404"/>
      <c r="D29" s="229"/>
      <c r="E29" s="229"/>
      <c r="F29" s="229"/>
      <c r="G29" s="229"/>
      <c r="H29" s="229"/>
      <c r="I29" s="229"/>
      <c r="J29" s="230"/>
    </row>
    <row r="30" spans="2:13" ht="15.75" thickBot="1">
      <c r="B30" s="399"/>
      <c r="C30" s="400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394" t="s">
        <v>417</v>
      </c>
      <c r="C31" s="394"/>
      <c r="D31" s="394"/>
      <c r="E31" s="394"/>
      <c r="F31" s="394"/>
      <c r="G31" s="394"/>
      <c r="H31" s="394"/>
      <c r="I31" s="394"/>
      <c r="J31" s="394"/>
    </row>
    <row r="32" spans="2:13" ht="22.5" customHeight="1" thickBot="1">
      <c r="B32" s="395" t="s">
        <v>418</v>
      </c>
      <c r="C32" s="395"/>
      <c r="D32" s="395"/>
      <c r="E32" s="395"/>
      <c r="F32" s="395"/>
      <c r="G32" s="395"/>
      <c r="H32" s="395"/>
      <c r="I32" s="395"/>
      <c r="J32" s="395"/>
    </row>
    <row r="33" spans="2:14" ht="30">
      <c r="B33" s="396" t="s">
        <v>419</v>
      </c>
      <c r="C33" s="233" t="s">
        <v>420</v>
      </c>
      <c r="D33" s="233" t="s">
        <v>421</v>
      </c>
      <c r="E33" s="233" t="s">
        <v>422</v>
      </c>
      <c r="F33" s="396" t="s">
        <v>423</v>
      </c>
      <c r="G33" s="233" t="s">
        <v>424</v>
      </c>
    </row>
    <row r="34" spans="2:14">
      <c r="B34" s="397"/>
      <c r="C34" s="234" t="s">
        <v>425</v>
      </c>
      <c r="D34" s="234" t="s">
        <v>426</v>
      </c>
      <c r="E34" s="234" t="s">
        <v>427</v>
      </c>
      <c r="F34" s="397"/>
      <c r="G34" s="234" t="s">
        <v>428</v>
      </c>
    </row>
    <row r="35" spans="2:14" ht="15.75" thickBot="1">
      <c r="B35" s="398"/>
      <c r="C35" s="235"/>
      <c r="D35" s="236" t="s">
        <v>429</v>
      </c>
      <c r="E35" s="235"/>
      <c r="F35" s="398"/>
      <c r="G35" s="235"/>
    </row>
    <row r="36" spans="2:14" ht="45">
      <c r="B36" s="237" t="s">
        <v>430</v>
      </c>
      <c r="C36" s="238"/>
      <c r="D36" s="238"/>
      <c r="E36" s="238"/>
      <c r="F36" s="238"/>
      <c r="G36" s="238"/>
      <c r="L36" s="284"/>
    </row>
    <row r="37" spans="2:14">
      <c r="B37" s="239" t="s">
        <v>516</v>
      </c>
      <c r="C37" s="240"/>
      <c r="D37" s="241"/>
      <c r="E37" s="242"/>
      <c r="F37" s="241"/>
      <c r="G37" s="242"/>
    </row>
    <row r="38" spans="2:14">
      <c r="B38" s="239" t="s">
        <v>431</v>
      </c>
      <c r="C38" s="239"/>
      <c r="D38" s="239"/>
      <c r="E38" s="239"/>
      <c r="F38" s="239"/>
      <c r="G38" s="239"/>
    </row>
    <row r="39" spans="2:14" ht="15.75" thickBot="1">
      <c r="B39" s="243" t="s">
        <v>432</v>
      </c>
      <c r="C39" s="243"/>
      <c r="D39" s="243"/>
      <c r="E39" s="243"/>
      <c r="F39" s="243"/>
      <c r="G39" s="243"/>
    </row>
    <row r="40" spans="2:14" ht="49.5" customHeight="1">
      <c r="B40" s="391" t="s">
        <v>364</v>
      </c>
      <c r="C40" s="391"/>
      <c r="D40" s="391"/>
      <c r="E40" s="391"/>
      <c r="F40" s="391"/>
      <c r="G40" s="391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31496062992125984" right="0.11811023622047245" top="0.35433070866141736" bottom="0.35433070866141736" header="0.11811023622047245" footer="0.11811023622047245"/>
  <pageSetup scale="80" fitToHeight="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90" zoomScaleNormal="90" workbookViewId="0">
      <selection activeCell="J10" sqref="J10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433</v>
      </c>
      <c r="C1" s="420" t="s">
        <v>434</v>
      </c>
      <c r="D1" s="420"/>
      <c r="E1" s="420"/>
      <c r="F1" s="420"/>
      <c r="G1" s="420"/>
      <c r="H1" s="420"/>
      <c r="I1" s="420"/>
      <c r="J1" s="420"/>
      <c r="K1" s="420"/>
      <c r="L1" s="420"/>
    </row>
    <row r="2" spans="2:12" ht="15.75" thickBot="1">
      <c r="B2" s="195"/>
    </row>
    <row r="3" spans="2:12" ht="15.75" thickBot="1">
      <c r="B3" s="414" t="s">
        <v>523</v>
      </c>
      <c r="C3" s="415"/>
      <c r="D3" s="415"/>
      <c r="E3" s="415"/>
      <c r="F3" s="415"/>
      <c r="G3" s="415"/>
      <c r="H3" s="415"/>
      <c r="I3" s="415"/>
      <c r="J3" s="415"/>
      <c r="K3" s="415"/>
      <c r="L3" s="416"/>
    </row>
    <row r="4" spans="2:12" ht="15.75" thickBot="1">
      <c r="B4" s="417" t="s">
        <v>435</v>
      </c>
      <c r="C4" s="418"/>
      <c r="D4" s="418"/>
      <c r="E4" s="418"/>
      <c r="F4" s="418"/>
      <c r="G4" s="418"/>
      <c r="H4" s="418"/>
      <c r="I4" s="418"/>
      <c r="J4" s="418"/>
      <c r="K4" s="418"/>
      <c r="L4" s="419"/>
    </row>
    <row r="5" spans="2:12" ht="15.75" thickBot="1">
      <c r="B5" s="417" t="s">
        <v>538</v>
      </c>
      <c r="C5" s="418"/>
      <c r="D5" s="418"/>
      <c r="E5" s="418"/>
      <c r="F5" s="418"/>
      <c r="G5" s="418"/>
      <c r="H5" s="418"/>
      <c r="I5" s="418"/>
      <c r="J5" s="418"/>
      <c r="K5" s="418"/>
      <c r="L5" s="419"/>
    </row>
    <row r="6" spans="2:12" ht="15.75" thickBot="1">
      <c r="B6" s="417" t="s">
        <v>329</v>
      </c>
      <c r="C6" s="418"/>
      <c r="D6" s="418"/>
      <c r="E6" s="418"/>
      <c r="F6" s="418"/>
      <c r="G6" s="418"/>
      <c r="H6" s="418"/>
      <c r="I6" s="418"/>
      <c r="J6" s="418"/>
      <c r="K6" s="418"/>
      <c r="L6" s="419"/>
    </row>
    <row r="7" spans="2:12" ht="74.25" customHeight="1" thickBot="1">
      <c r="B7" s="249" t="s">
        <v>436</v>
      </c>
      <c r="C7" s="198" t="s">
        <v>437</v>
      </c>
      <c r="D7" s="198" t="s">
        <v>438</v>
      </c>
      <c r="E7" s="198" t="s">
        <v>439</v>
      </c>
      <c r="F7" s="198" t="s">
        <v>440</v>
      </c>
      <c r="G7" s="198" t="s">
        <v>441</v>
      </c>
      <c r="H7" s="198" t="s">
        <v>442</v>
      </c>
      <c r="I7" s="198" t="s">
        <v>443</v>
      </c>
      <c r="J7" s="198" t="s">
        <v>544</v>
      </c>
      <c r="K7" s="198" t="s">
        <v>537</v>
      </c>
      <c r="L7" s="198" t="s">
        <v>545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444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454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445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446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448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449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450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451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28.5">
      <c r="B19" s="253" t="s">
        <v>452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453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00"/>
  <sheetViews>
    <sheetView topLeftCell="C37" zoomScaleNormal="100" workbookViewId="0">
      <selection activeCell="E67" sqref="E67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422" t="s">
        <v>328</v>
      </c>
      <c r="E3" s="423"/>
      <c r="F3" s="423"/>
      <c r="G3" s="424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348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434" t="s">
        <v>523</v>
      </c>
      <c r="E5" s="435"/>
      <c r="F5" s="435"/>
      <c r="G5" s="436"/>
      <c r="H5" s="346"/>
      <c r="I5" s="346"/>
      <c r="J5" s="346"/>
      <c r="K5" s="34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425" t="s">
        <v>328</v>
      </c>
      <c r="E6" s="426"/>
      <c r="F6" s="426"/>
      <c r="G6" s="427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428" t="s">
        <v>541</v>
      </c>
      <c r="E7" s="429"/>
      <c r="F7" s="429"/>
      <c r="G7" s="430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431" t="s">
        <v>329</v>
      </c>
      <c r="E8" s="432"/>
      <c r="F8" s="432"/>
      <c r="G8" s="433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348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330</v>
      </c>
      <c r="E10" s="172" t="s">
        <v>368</v>
      </c>
      <c r="F10" s="172" t="s">
        <v>153</v>
      </c>
      <c r="G10" s="349" t="s">
        <v>369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331</v>
      </c>
      <c r="E11" s="71">
        <f>+E12+E13+E14</f>
        <v>19407224.100000001</v>
      </c>
      <c r="F11" s="71">
        <f t="shared" ref="F11:G11" si="0">+F12+F13+F14</f>
        <v>17138301.399999999</v>
      </c>
      <c r="G11" s="350">
        <f t="shared" si="0"/>
        <v>17138301.399999999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332</v>
      </c>
      <c r="E12" s="72">
        <f>+E41</f>
        <v>10123612.08</v>
      </c>
      <c r="F12" s="72">
        <f t="shared" ref="F12:G12" si="1">+F41</f>
        <v>6369453.96</v>
      </c>
      <c r="G12" s="351">
        <f t="shared" si="1"/>
        <v>6369453.96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333</v>
      </c>
      <c r="E13" s="73">
        <f>+E51</f>
        <v>9283612.0199999996</v>
      </c>
      <c r="F13" s="73">
        <f t="shared" ref="F13:G13" si="2">+F51</f>
        <v>10768847.439999999</v>
      </c>
      <c r="G13" s="352">
        <f t="shared" si="2"/>
        <v>10768847.439999999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334</v>
      </c>
      <c r="E14" s="73">
        <f>+E38</f>
        <v>0</v>
      </c>
      <c r="F14" s="73">
        <f t="shared" ref="F14:G14" si="3">+F38</f>
        <v>0</v>
      </c>
      <c r="G14" s="352">
        <f t="shared" si="3"/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335</v>
      </c>
      <c r="E15" s="71">
        <f>+E16+E17</f>
        <v>19407224</v>
      </c>
      <c r="F15" s="71">
        <f t="shared" ref="F15:G15" si="4">+F16+F17</f>
        <v>16984004.240000002</v>
      </c>
      <c r="G15" s="350">
        <f t="shared" si="4"/>
        <v>16920349.43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336</v>
      </c>
      <c r="E16" s="73">
        <f>+E45</f>
        <v>10123612</v>
      </c>
      <c r="F16" s="73">
        <f t="shared" ref="F16:G16" si="5">+F45</f>
        <v>6253525.3100000005</v>
      </c>
      <c r="G16" s="352">
        <f t="shared" si="5"/>
        <v>6229141.0200000005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337</v>
      </c>
      <c r="E17" s="73">
        <f>+E55</f>
        <v>9283612</v>
      </c>
      <c r="F17" s="73">
        <f t="shared" ref="F17:G17" si="6">+F55</f>
        <v>10730478.930000002</v>
      </c>
      <c r="G17" s="352">
        <f t="shared" si="6"/>
        <v>10691208.41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338</v>
      </c>
      <c r="E18" s="174">
        <f>+E19+E20</f>
        <v>0</v>
      </c>
      <c r="F18" s="71">
        <f t="shared" ref="F18:G18" si="7">+F19+F20</f>
        <v>0</v>
      </c>
      <c r="G18" s="350">
        <f t="shared" si="7"/>
        <v>0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339</v>
      </c>
      <c r="E19" s="175">
        <v>0</v>
      </c>
      <c r="F19" s="73">
        <v>0</v>
      </c>
      <c r="G19" s="352">
        <v>0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340</v>
      </c>
      <c r="E20" s="175">
        <v>0</v>
      </c>
      <c r="F20" s="73">
        <v>0</v>
      </c>
      <c r="G20" s="352">
        <v>0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341</v>
      </c>
      <c r="E21" s="71">
        <f>+E11-E15+E18</f>
        <v>0.10000000149011612</v>
      </c>
      <c r="F21" s="71">
        <f t="shared" ref="F21" si="8">+F11-F15+F18</f>
        <v>154297.15999999642</v>
      </c>
      <c r="G21" s="350">
        <f>+G11-G15+G18</f>
        <v>217951.96999999881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342</v>
      </c>
      <c r="E22" s="71">
        <f>+E21-E38</f>
        <v>0.10000000149011612</v>
      </c>
      <c r="F22" s="71">
        <f t="shared" ref="F22:G22" si="9">+F21-F38</f>
        <v>154297.15999999642</v>
      </c>
      <c r="G22" s="350">
        <f t="shared" si="9"/>
        <v>217951.96999999881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343</v>
      </c>
      <c r="E23" s="74">
        <f>+E22-E18</f>
        <v>0.10000000149011612</v>
      </c>
      <c r="F23" s="74">
        <f t="shared" ref="F23:G23" si="10">+F22-F18</f>
        <v>154297.15999999642</v>
      </c>
      <c r="G23" s="353">
        <f t="shared" si="10"/>
        <v>217951.96999999881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348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35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344</v>
      </c>
      <c r="E26" s="71">
        <f>+E27+E28</f>
        <v>0</v>
      </c>
      <c r="F26" s="71">
        <f t="shared" ref="F26:G26" si="11">+F27+F28</f>
        <v>0</v>
      </c>
      <c r="G26" s="350">
        <f t="shared" si="11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345</v>
      </c>
      <c r="E27" s="73">
        <f>+'F6a. EAEPE OG'!D75-'F6a. EAEPE OG'!D76</f>
        <v>0</v>
      </c>
      <c r="F27" s="73">
        <f>+'F6a. EAEPE OG'!G75-'F6a. EAEPE OG'!G76</f>
        <v>0</v>
      </c>
      <c r="G27" s="35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346</v>
      </c>
      <c r="E28" s="73">
        <f>+'F6a. EAEPE OG'!D147</f>
        <v>0</v>
      </c>
      <c r="F28" s="73">
        <f>+'F6a. EAEPE OG'!G148</f>
        <v>0</v>
      </c>
      <c r="G28" s="35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347</v>
      </c>
      <c r="E29" s="74">
        <f>+E23+E26</f>
        <v>0.10000000149011612</v>
      </c>
      <c r="F29" s="74">
        <f t="shared" ref="F29:G29" si="12">+F23+F26</f>
        <v>154297.15999999642</v>
      </c>
      <c r="G29" s="353">
        <f t="shared" si="12"/>
        <v>217951.96999999881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348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348</v>
      </c>
      <c r="F31" s="172" t="s">
        <v>153</v>
      </c>
      <c r="G31" s="349" t="s">
        <v>370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349</v>
      </c>
      <c r="E32" s="80">
        <f>+E33+E34</f>
        <v>0</v>
      </c>
      <c r="F32" s="80">
        <f t="shared" ref="F32:G32" si="13">+F33+F34</f>
        <v>0</v>
      </c>
      <c r="G32" s="355">
        <f t="shared" si="13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350</v>
      </c>
      <c r="E33" s="75">
        <f>+'F5. EAID'!C68</f>
        <v>0</v>
      </c>
      <c r="F33" s="75">
        <f>+'F5. EAID'!F68</f>
        <v>0</v>
      </c>
      <c r="G33" s="35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351</v>
      </c>
      <c r="E34" s="75">
        <f>+'F5. EAID'!C69</f>
        <v>0</v>
      </c>
      <c r="F34" s="75">
        <f>+'F5. EAID'!F69</f>
        <v>0</v>
      </c>
      <c r="G34" s="35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352</v>
      </c>
      <c r="E35" s="80">
        <f>+E36+E37</f>
        <v>0</v>
      </c>
      <c r="F35" s="80">
        <f t="shared" ref="F35" si="14">+F36+F37</f>
        <v>0</v>
      </c>
      <c r="G35" s="355">
        <f t="shared" ref="G35" si="15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353</v>
      </c>
      <c r="E36" s="75">
        <f>+'F6a. EAEPE OG'!D76</f>
        <v>0</v>
      </c>
      <c r="F36" s="75">
        <f>+'F6a. EAEPE OG'!G76</f>
        <v>0</v>
      </c>
      <c r="G36" s="35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354</v>
      </c>
      <c r="E37" s="75">
        <f>+'F6a. EAEPE OG'!D149</f>
        <v>0</v>
      </c>
      <c r="F37" s="75">
        <f>+'F6a. EAEPE OG'!G149</f>
        <v>0</v>
      </c>
      <c r="G37" s="35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355</v>
      </c>
      <c r="E38" s="81">
        <f>+E32-E35</f>
        <v>0</v>
      </c>
      <c r="F38" s="81">
        <f t="shared" ref="F38:G38" si="16">+F32-F35</f>
        <v>0</v>
      </c>
      <c r="G38" s="357">
        <f t="shared" si="16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348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348</v>
      </c>
      <c r="F40" s="172" t="s">
        <v>153</v>
      </c>
      <c r="G40" s="349" t="s">
        <v>370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356</v>
      </c>
      <c r="E41" s="75">
        <f>+'F5. EAID'!C41</f>
        <v>10123612.08</v>
      </c>
      <c r="F41" s="75">
        <f>+'F5. EAID'!F41</f>
        <v>6369453.96</v>
      </c>
      <c r="G41" s="356">
        <f>+'F5. EAID'!G41</f>
        <v>6369453.96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357</v>
      </c>
      <c r="E42" s="82">
        <f>+E43-E44</f>
        <v>0</v>
      </c>
      <c r="F42" s="82">
        <f t="shared" ref="F42:G42" si="17">+F43-F44</f>
        <v>0</v>
      </c>
      <c r="G42" s="358">
        <f t="shared" si="17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350</v>
      </c>
      <c r="E43" s="75">
        <f>+'F5. EAID'!C68</f>
        <v>0</v>
      </c>
      <c r="F43" s="75">
        <f>+'F5. EAID'!F68</f>
        <v>0</v>
      </c>
      <c r="G43" s="35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353</v>
      </c>
      <c r="E44" s="75">
        <f>+E36</f>
        <v>0</v>
      </c>
      <c r="F44" s="75">
        <f t="shared" ref="F44:G44" si="18">+F36</f>
        <v>0</v>
      </c>
      <c r="G44" s="356">
        <f t="shared" si="18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336</v>
      </c>
      <c r="E45" s="75">
        <f>+'F6a. EAEPE OG'!D10-'F6a. EAEPE OG'!D76</f>
        <v>10123612</v>
      </c>
      <c r="F45" s="75">
        <f>+'F6a. EAEPE OG'!G10-'F6a. EAEPE OG'!G76</f>
        <v>6253525.3100000005</v>
      </c>
      <c r="G45" s="356">
        <f>+'F6a. EAEPE OG'!H10-'F6a. EAEPE OG'!H76</f>
        <v>6229141.0200000005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339</v>
      </c>
      <c r="E46" s="176">
        <v>0</v>
      </c>
      <c r="F46" s="75">
        <v>0</v>
      </c>
      <c r="G46" s="356">
        <v>0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358</v>
      </c>
      <c r="E47" s="80">
        <f>+E41+E42-E45+E46</f>
        <v>8.0000000074505806E-2</v>
      </c>
      <c r="F47" s="80">
        <f>+F41+F42-F45+F46</f>
        <v>115928.64999999944</v>
      </c>
      <c r="G47" s="355">
        <f>+G41+G42-G45+G46</f>
        <v>140312.93999999948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359</v>
      </c>
      <c r="E48" s="81">
        <f t="shared" ref="E48" si="19">+E47-E42</f>
        <v>8.0000000074505806E-2</v>
      </c>
      <c r="F48" s="81">
        <f>+F47-F42</f>
        <v>115928.64999999944</v>
      </c>
      <c r="G48" s="357">
        <f t="shared" ref="G48" si="20">+G47-G42</f>
        <v>140312.93999999948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348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348</v>
      </c>
      <c r="F50" s="172" t="s">
        <v>153</v>
      </c>
      <c r="G50" s="349" t="s">
        <v>370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333</v>
      </c>
      <c r="E51" s="75">
        <f>+'F5. EAID'!C63</f>
        <v>9283612.0199999996</v>
      </c>
      <c r="F51" s="75">
        <f>+'F5. EAID'!F63</f>
        <v>10768847.439999999</v>
      </c>
      <c r="G51" s="356">
        <f>+'F5. EAID'!G63</f>
        <v>10768847.439999999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360</v>
      </c>
      <c r="E52" s="82">
        <f>+E53-E54</f>
        <v>0</v>
      </c>
      <c r="F52" s="82">
        <f t="shared" ref="F52:G52" si="21">+F53-F54</f>
        <v>0</v>
      </c>
      <c r="G52" s="358">
        <f t="shared" si="21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351</v>
      </c>
      <c r="E53" s="75">
        <f>+'F5. EAID'!C69</f>
        <v>0</v>
      </c>
      <c r="F53" s="75">
        <f>+'F5. EAID'!F69</f>
        <v>0</v>
      </c>
      <c r="G53" s="35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354</v>
      </c>
      <c r="E54" s="75">
        <f>+E37</f>
        <v>0</v>
      </c>
      <c r="F54" s="75">
        <f>+F37</f>
        <v>0</v>
      </c>
      <c r="G54" s="35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361</v>
      </c>
      <c r="E55" s="75">
        <f>+'F6a. EAEPE OG'!D83-'F6a. EAEPE OG'!D149</f>
        <v>9283612</v>
      </c>
      <c r="F55" s="75">
        <f>+'F6a. EAEPE OG'!G83-'F6a. EAEPE OG'!G149</f>
        <v>10730478.930000002</v>
      </c>
      <c r="G55" s="356">
        <f>+'F6a. EAEPE OG'!H83-'F6a. EAEPE OG'!H149</f>
        <v>10691208.41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340</v>
      </c>
      <c r="E56" s="176">
        <v>0</v>
      </c>
      <c r="F56" s="75">
        <v>0</v>
      </c>
      <c r="G56" s="356">
        <v>0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362</v>
      </c>
      <c r="E57" s="80">
        <f>+E51+E52-E55+E56</f>
        <v>1.9999999552965164E-2</v>
      </c>
      <c r="F57" s="80">
        <f t="shared" ref="F57:G57" si="22">+F51+F52-F55+F56</f>
        <v>38368.509999997914</v>
      </c>
      <c r="G57" s="355">
        <f t="shared" si="22"/>
        <v>77639.029999999329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363</v>
      </c>
      <c r="E58" s="304">
        <f>+E57-E52</f>
        <v>1.9999999552965164E-2</v>
      </c>
      <c r="F58" s="304">
        <f t="shared" ref="F58:G58" si="23">+F57-F52</f>
        <v>38368.509999997914</v>
      </c>
      <c r="G58" s="359">
        <f t="shared" si="23"/>
        <v>77639.029999999329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421" t="s">
        <v>364</v>
      </c>
      <c r="E60" s="421"/>
      <c r="F60" s="421"/>
      <c r="G60" s="421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421" t="s">
        <v>365</v>
      </c>
      <c r="E61" s="421"/>
      <c r="F61" s="421"/>
      <c r="G61" s="421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522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horizontalDpi="4294967293" verticalDpi="4294967293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8"/>
  <sheetViews>
    <sheetView topLeftCell="A43" workbookViewId="0">
      <selection activeCell="A56" sqref="A56"/>
    </sheetView>
  </sheetViews>
  <sheetFormatPr baseColWidth="10" defaultRowHeight="12.75"/>
  <cols>
    <col min="2" max="2" width="61.42578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440" t="s">
        <v>258</v>
      </c>
      <c r="C1" s="440"/>
      <c r="D1" s="440"/>
      <c r="E1" s="440"/>
      <c r="F1" s="440"/>
      <c r="G1" s="440"/>
      <c r="H1" s="440"/>
    </row>
    <row r="2" spans="2:9" ht="15">
      <c r="B2" s="451" t="s">
        <v>523</v>
      </c>
      <c r="C2" s="452"/>
      <c r="D2" s="452"/>
      <c r="E2" s="452"/>
      <c r="F2" s="452"/>
      <c r="G2" s="452"/>
      <c r="H2" s="453"/>
    </row>
    <row r="3" spans="2:9" ht="15">
      <c r="B3" s="450" t="s">
        <v>259</v>
      </c>
      <c r="C3" s="448"/>
      <c r="D3" s="448"/>
      <c r="E3" s="448"/>
      <c r="F3" s="448"/>
      <c r="G3" s="448"/>
      <c r="H3" s="449"/>
    </row>
    <row r="4" spans="2:9" ht="15">
      <c r="B4" s="447" t="s">
        <v>542</v>
      </c>
      <c r="C4" s="448"/>
      <c r="D4" s="448"/>
      <c r="E4" s="448"/>
      <c r="F4" s="448"/>
      <c r="G4" s="448"/>
      <c r="H4" s="449"/>
    </row>
    <row r="5" spans="2:9" ht="15">
      <c r="B5" s="444" t="s">
        <v>4</v>
      </c>
      <c r="C5" s="445"/>
      <c r="D5" s="445"/>
      <c r="E5" s="445"/>
      <c r="F5" s="445"/>
      <c r="G5" s="445"/>
      <c r="H5" s="446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441" t="s">
        <v>260</v>
      </c>
      <c r="C7" s="443" t="s">
        <v>261</v>
      </c>
      <c r="D7" s="443"/>
      <c r="E7" s="443"/>
      <c r="F7" s="443"/>
      <c r="G7" s="443"/>
      <c r="H7" s="442" t="s">
        <v>262</v>
      </c>
    </row>
    <row r="8" spans="2:9" ht="30">
      <c r="B8" s="441"/>
      <c r="C8" s="178" t="s">
        <v>263</v>
      </c>
      <c r="D8" s="179" t="s">
        <v>151</v>
      </c>
      <c r="E8" s="178" t="s">
        <v>152</v>
      </c>
      <c r="F8" s="178" t="s">
        <v>153</v>
      </c>
      <c r="G8" s="178" t="s">
        <v>264</v>
      </c>
      <c r="H8" s="442"/>
    </row>
    <row r="9" spans="2:9" ht="15">
      <c r="B9" s="83" t="s">
        <v>265</v>
      </c>
      <c r="C9" s="90"/>
      <c r="D9" s="90"/>
      <c r="E9" s="90"/>
      <c r="F9" s="90"/>
      <c r="G9" s="90"/>
      <c r="H9" s="90"/>
    </row>
    <row r="10" spans="2:9" ht="15">
      <c r="B10" s="84" t="s">
        <v>266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267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268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269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270</v>
      </c>
      <c r="C14" s="315">
        <v>0</v>
      </c>
      <c r="D14" s="319"/>
      <c r="E14" s="269">
        <f t="shared" si="0"/>
        <v>0</v>
      </c>
      <c r="F14" s="266"/>
      <c r="G14" s="266"/>
      <c r="H14" s="269">
        <f>IF(G14-E14&lt;0,0,E14-G14)</f>
        <v>0</v>
      </c>
    </row>
    <row r="15" spans="2:9" ht="15">
      <c r="B15" s="84" t="s">
        <v>271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272</v>
      </c>
      <c r="C16" s="266">
        <v>840000</v>
      </c>
      <c r="D16" s="319">
        <v>-113983.16</v>
      </c>
      <c r="E16" s="315">
        <f t="shared" si="0"/>
        <v>726016.84</v>
      </c>
      <c r="F16" s="266">
        <v>726016.84</v>
      </c>
      <c r="G16" s="266">
        <v>726016.84</v>
      </c>
      <c r="H16" s="269">
        <f>IF(G16-E16&lt;0,0,E16-G16)</f>
        <v>0</v>
      </c>
      <c r="I16" s="64"/>
    </row>
    <row r="17" spans="2:10" ht="15">
      <c r="B17" s="84" t="s">
        <v>273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274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275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276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277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278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279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280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281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282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283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284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285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286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287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288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289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290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291</v>
      </c>
      <c r="C35" s="265">
        <v>9283612.0800000001</v>
      </c>
      <c r="D35" s="269">
        <v>-3640174.96</v>
      </c>
      <c r="E35" s="315">
        <f t="shared" si="0"/>
        <v>5643437.1200000001</v>
      </c>
      <c r="F35" s="266">
        <v>5643437.1200000001</v>
      </c>
      <c r="G35" s="266">
        <v>5643437.1200000001</v>
      </c>
      <c r="H35" s="266">
        <f>IF(G35-E35&lt;0,0,E35-G35)</f>
        <v>0</v>
      </c>
      <c r="I35" s="64"/>
      <c r="J35" s="64"/>
    </row>
    <row r="36" spans="2:10" ht="15">
      <c r="B36" s="84" t="s">
        <v>292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293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294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295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296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297</v>
      </c>
      <c r="C41" s="267">
        <f>+C35+C29+C17+C16+C15+C14+C13+C12+C11+C10</f>
        <v>10123612.08</v>
      </c>
      <c r="D41" s="267">
        <f t="shared" ref="D41:G41" si="1">+D35+D29+D17+D16+D15+D14+D13+D12+D11+D10</f>
        <v>-3754158.12</v>
      </c>
      <c r="E41" s="267">
        <f t="shared" si="1"/>
        <v>6369453.96</v>
      </c>
      <c r="F41" s="267">
        <f t="shared" si="1"/>
        <v>6369453.96</v>
      </c>
      <c r="G41" s="267">
        <f t="shared" si="1"/>
        <v>6369453.96</v>
      </c>
      <c r="H41" s="267">
        <f>IF(G41-E41&lt;0,0,E41-G41)</f>
        <v>0</v>
      </c>
      <c r="I41" s="64"/>
      <c r="J41" s="65"/>
    </row>
    <row r="42" spans="2:10" ht="15">
      <c r="B42" s="86" t="s">
        <v>298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299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300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301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302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303</v>
      </c>
      <c r="C47" s="91"/>
      <c r="D47" s="91"/>
      <c r="E47" s="91"/>
      <c r="F47" s="91"/>
      <c r="G47" s="91"/>
      <c r="H47" s="91"/>
      <c r="I47" s="64"/>
      <c r="J47" s="64"/>
    </row>
    <row r="48" spans="2:10" ht="45">
      <c r="B48" s="87" t="s">
        <v>304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305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306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307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308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309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310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311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312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313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314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315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316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317</v>
      </c>
      <c r="C61" s="268">
        <v>9283612.0199999996</v>
      </c>
      <c r="D61" s="269">
        <v>1223999.08</v>
      </c>
      <c r="E61" s="269">
        <v>10507611.1</v>
      </c>
      <c r="F61" s="269">
        <v>10507611.1</v>
      </c>
      <c r="G61" s="269">
        <v>10507611.1</v>
      </c>
      <c r="H61" s="316">
        <f>IF(G61-E61&lt;0,0,E61-G61)</f>
        <v>0</v>
      </c>
      <c r="I61" s="64"/>
      <c r="J61" s="64"/>
    </row>
    <row r="62" spans="2:10" ht="15">
      <c r="B62" s="84" t="s">
        <v>318</v>
      </c>
      <c r="C62" s="91">
        <v>0</v>
      </c>
      <c r="D62" s="91">
        <v>261236.34</v>
      </c>
      <c r="E62" s="91">
        <v>261236.34</v>
      </c>
      <c r="F62" s="91">
        <v>261236.34</v>
      </c>
      <c r="G62" s="91">
        <v>261236.34</v>
      </c>
      <c r="H62" s="91"/>
      <c r="I62" s="64"/>
      <c r="J62" s="64"/>
    </row>
    <row r="63" spans="2:10" ht="15">
      <c r="B63" s="86" t="s">
        <v>319</v>
      </c>
      <c r="C63" s="267">
        <f>C61+C53+C44+C58+C62</f>
        <v>9283612.0199999996</v>
      </c>
      <c r="D63" s="267">
        <f t="shared" ref="D63:G63" si="2">D61+D53+D44+D58+D62</f>
        <v>1485235.4200000002</v>
      </c>
      <c r="E63" s="267">
        <f t="shared" si="2"/>
        <v>10768847.439999999</v>
      </c>
      <c r="F63" s="267">
        <f t="shared" si="2"/>
        <v>10768847.439999999</v>
      </c>
      <c r="G63" s="267">
        <f t="shared" si="2"/>
        <v>10768847.439999999</v>
      </c>
      <c r="H63" s="267">
        <f>IF(G63-E63&lt;0,0,E63-G63)</f>
        <v>0</v>
      </c>
      <c r="I63" s="64"/>
      <c r="J63" s="65"/>
    </row>
    <row r="64" spans="2:10" ht="15">
      <c r="B64" s="86" t="s">
        <v>320</v>
      </c>
      <c r="C64" s="92"/>
      <c r="D64" s="92">
        <f>D65</f>
        <v>165584.62</v>
      </c>
      <c r="E64" s="92">
        <f t="shared" ref="E64:G64" si="3">E65</f>
        <v>165584.62</v>
      </c>
      <c r="F64" s="92">
        <f t="shared" si="3"/>
        <v>0</v>
      </c>
      <c r="G64" s="92">
        <f t="shared" si="3"/>
        <v>0</v>
      </c>
      <c r="H64" s="92"/>
      <c r="I64" s="64"/>
      <c r="J64" s="65"/>
    </row>
    <row r="65" spans="2:10" ht="15">
      <c r="B65" s="84" t="s">
        <v>321</v>
      </c>
      <c r="C65" s="93"/>
      <c r="D65" s="93">
        <v>165584.62</v>
      </c>
      <c r="E65" s="93">
        <v>165584.62</v>
      </c>
      <c r="F65" s="93"/>
      <c r="G65" s="93"/>
      <c r="H65" s="93"/>
      <c r="I65" s="64"/>
      <c r="J65" s="328">
        <f>G41+G63</f>
        <v>17138301.399999999</v>
      </c>
    </row>
    <row r="66" spans="2:10" ht="15">
      <c r="B66" s="86" t="s">
        <v>322</v>
      </c>
      <c r="C66" s="267">
        <f>C64+C63+C41</f>
        <v>19407224.100000001</v>
      </c>
      <c r="D66" s="267">
        <f>D64+D63+D41</f>
        <v>-2103338.08</v>
      </c>
      <c r="E66" s="267">
        <f t="shared" ref="E66:G66" si="4">E64+E63+E41</f>
        <v>17303886.02</v>
      </c>
      <c r="F66" s="267">
        <f t="shared" si="4"/>
        <v>17138301.399999999</v>
      </c>
      <c r="G66" s="267">
        <f t="shared" si="4"/>
        <v>17138301.399999999</v>
      </c>
      <c r="H66" s="267">
        <f>IF(G66-E66&lt;0,0,E66-G66)</f>
        <v>0</v>
      </c>
      <c r="I66" s="64"/>
      <c r="J66" s="65"/>
    </row>
    <row r="67" spans="2:10" ht="15">
      <c r="B67" s="88" t="s">
        <v>323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324</v>
      </c>
      <c r="C68" s="92"/>
      <c r="D68" s="92"/>
      <c r="E68" s="92"/>
      <c r="F68" s="92"/>
      <c r="G68" s="92"/>
      <c r="H68" s="92"/>
      <c r="I68" s="64"/>
      <c r="J68" s="64"/>
    </row>
    <row r="69" spans="2:10" ht="15">
      <c r="B69" s="86" t="s">
        <v>325</v>
      </c>
      <c r="C69" s="92"/>
      <c r="D69" s="92"/>
      <c r="E69" s="92"/>
      <c r="F69" s="92"/>
      <c r="G69" s="92"/>
      <c r="H69" s="92"/>
      <c r="I69" s="64"/>
      <c r="J69" s="64"/>
    </row>
    <row r="70" spans="2:10" ht="15">
      <c r="B70" s="89" t="s">
        <v>326</v>
      </c>
      <c r="C70" s="94"/>
      <c r="D70" s="94"/>
      <c r="E70" s="94"/>
      <c r="F70" s="94"/>
      <c r="G70" s="94"/>
      <c r="H70" s="94"/>
      <c r="I70" s="64"/>
      <c r="J70" s="64"/>
    </row>
    <row r="71" spans="2:10" ht="29.25" customHeight="1">
      <c r="B71" s="438" t="s">
        <v>327</v>
      </c>
      <c r="C71" s="438"/>
      <c r="D71" s="438"/>
      <c r="E71" s="438"/>
      <c r="F71" s="438"/>
      <c r="G71" s="438"/>
      <c r="H71" s="438"/>
      <c r="I71" s="64"/>
      <c r="J71" s="64"/>
    </row>
    <row r="72" spans="2:10" ht="15">
      <c r="B72" s="439" t="s">
        <v>519</v>
      </c>
      <c r="C72" s="438"/>
      <c r="D72" s="438"/>
      <c r="E72" s="438"/>
      <c r="F72" s="438"/>
      <c r="G72" s="438"/>
      <c r="H72" s="438"/>
    </row>
    <row r="73" spans="2:10" ht="27.75" customHeight="1">
      <c r="B73" s="437" t="s">
        <v>521</v>
      </c>
      <c r="C73" s="438"/>
      <c r="D73" s="438"/>
      <c r="E73" s="438"/>
      <c r="F73" s="438"/>
      <c r="G73" s="438"/>
      <c r="H73" s="438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12</v>
      </c>
      <c r="G75" s="317">
        <v>8651845.2100000009</v>
      </c>
      <c r="H75" s="329">
        <f>F75-G75</f>
        <v>-8651833.2100000009</v>
      </c>
    </row>
    <row r="76" spans="2:10">
      <c r="C76" s="317"/>
      <c r="D76" s="317"/>
      <c r="E76" s="317"/>
      <c r="F76" s="318">
        <f>F74-F66</f>
        <v>-6658314.0499999989</v>
      </c>
      <c r="G76" s="317"/>
      <c r="H76" s="329"/>
    </row>
    <row r="77" spans="2:10">
      <c r="C77" s="318">
        <f>C66-C75</f>
        <v>0.10000000149011612</v>
      </c>
      <c r="D77" s="318">
        <f t="shared" ref="D77:G77" si="5">D66-D75</f>
        <v>-2230499.1800000002</v>
      </c>
      <c r="E77" s="318">
        <f t="shared" si="5"/>
        <v>-2230499.0800000019</v>
      </c>
      <c r="F77" s="318">
        <f t="shared" si="5"/>
        <v>17138289.399999999</v>
      </c>
      <c r="G77" s="318">
        <f t="shared" si="5"/>
        <v>8486456.1899999976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A142" zoomScale="90" zoomScaleNormal="90" workbookViewId="0">
      <selection activeCell="E180" sqref="E180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1" max="11" width="11.42578125" style="367"/>
    <col min="12" max="13" width="12.42578125" style="367" bestFit="1" customWidth="1"/>
    <col min="14" max="15" width="11.42578125" style="367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54" t="s">
        <v>525</v>
      </c>
      <c r="C2" s="455"/>
      <c r="D2" s="455"/>
      <c r="E2" s="455"/>
      <c r="F2" s="455"/>
      <c r="G2" s="455"/>
      <c r="H2" s="455"/>
      <c r="I2" s="456"/>
    </row>
    <row r="3" spans="1:13" ht="15">
      <c r="A3" s="45"/>
      <c r="B3" s="457" t="s">
        <v>366</v>
      </c>
      <c r="C3" s="458"/>
      <c r="D3" s="458"/>
      <c r="E3" s="458"/>
      <c r="F3" s="458"/>
      <c r="G3" s="458"/>
      <c r="H3" s="458"/>
      <c r="I3" s="459"/>
    </row>
    <row r="4" spans="1:13" ht="15">
      <c r="A4" s="45"/>
      <c r="B4" s="460" t="s">
        <v>367</v>
      </c>
      <c r="C4" s="461"/>
      <c r="D4" s="461"/>
      <c r="E4" s="461"/>
      <c r="F4" s="461"/>
      <c r="G4" s="461"/>
      <c r="H4" s="461"/>
      <c r="I4" s="462"/>
    </row>
    <row r="5" spans="1:13" ht="15">
      <c r="A5" s="45"/>
      <c r="B5" s="463" t="s">
        <v>538</v>
      </c>
      <c r="C5" s="464"/>
      <c r="D5" s="464"/>
      <c r="E5" s="464"/>
      <c r="F5" s="464"/>
      <c r="G5" s="464"/>
      <c r="H5" s="464"/>
      <c r="I5" s="465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66" t="s">
        <v>128</v>
      </c>
      <c r="C7" s="467"/>
      <c r="D7" s="472"/>
      <c r="E7" s="472"/>
      <c r="F7" s="472"/>
      <c r="G7" s="472"/>
      <c r="H7" s="473"/>
      <c r="I7" s="474" t="s">
        <v>149</v>
      </c>
    </row>
    <row r="8" spans="1:13" ht="30">
      <c r="A8" s="45"/>
      <c r="B8" s="468"/>
      <c r="C8" s="469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75"/>
    </row>
    <row r="9" spans="1:13" ht="15">
      <c r="A9" s="45"/>
      <c r="B9" s="470"/>
      <c r="C9" s="471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10123612</v>
      </c>
      <c r="E10" s="49">
        <f t="shared" ref="E10:I10" si="0">+E11+E19+E29+E39+E49+E59+E63+E71+E75</f>
        <v>-3870086.69</v>
      </c>
      <c r="F10" s="49">
        <f t="shared" si="0"/>
        <v>6253525.3100000005</v>
      </c>
      <c r="G10" s="49">
        <f t="shared" si="0"/>
        <v>6253525.3100000005</v>
      </c>
      <c r="H10" s="49">
        <f t="shared" si="0"/>
        <v>6229141.0200000005</v>
      </c>
      <c r="I10" s="49">
        <f t="shared" si="0"/>
        <v>0</v>
      </c>
      <c r="K10" s="368"/>
      <c r="L10" s="369"/>
      <c r="M10" s="369"/>
    </row>
    <row r="11" spans="1:13" ht="15">
      <c r="A11" s="50"/>
      <c r="B11" s="51" t="s">
        <v>221</v>
      </c>
      <c r="C11" s="52"/>
      <c r="D11" s="53">
        <f>SUM(D12:D18)</f>
        <v>2884776</v>
      </c>
      <c r="E11" s="53">
        <f t="shared" ref="E11:I11" si="1">SUM(E12:E18)</f>
        <v>1567760.07</v>
      </c>
      <c r="F11" s="53">
        <f t="shared" si="1"/>
        <v>4452536.07</v>
      </c>
      <c r="G11" s="53">
        <f t="shared" si="1"/>
        <v>4452536.07</v>
      </c>
      <c r="H11" s="53">
        <f t="shared" si="1"/>
        <v>4452536.07</v>
      </c>
      <c r="I11" s="53">
        <f t="shared" si="1"/>
        <v>0</v>
      </c>
    </row>
    <row r="12" spans="1:13" ht="15">
      <c r="A12" s="45"/>
      <c r="B12" s="62" t="s">
        <v>6</v>
      </c>
      <c r="C12" s="54" t="s">
        <v>157</v>
      </c>
      <c r="D12" s="78">
        <v>2449068</v>
      </c>
      <c r="E12" s="78">
        <v>1069098.94</v>
      </c>
      <c r="F12" s="78">
        <f>D12+E12</f>
        <v>3518166.94</v>
      </c>
      <c r="G12" s="78">
        <v>3518166.94</v>
      </c>
      <c r="H12" s="78">
        <v>3518166.94</v>
      </c>
      <c r="I12" s="283">
        <f>F12-G12</f>
        <v>0</v>
      </c>
    </row>
    <row r="13" spans="1:13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3">
        <f t="shared" ref="I13:I18" si="3">F13-G13</f>
        <v>0</v>
      </c>
    </row>
    <row r="14" spans="1:13" ht="15">
      <c r="A14" s="45"/>
      <c r="B14" s="62" t="s">
        <v>8</v>
      </c>
      <c r="C14" s="54" t="s">
        <v>159</v>
      </c>
      <c r="D14" s="78">
        <v>215781</v>
      </c>
      <c r="E14" s="78">
        <v>401195.79</v>
      </c>
      <c r="F14" s="78">
        <f>D14+E14</f>
        <v>616976.79</v>
      </c>
      <c r="G14" s="78">
        <v>616976.79</v>
      </c>
      <c r="H14" s="78">
        <v>616976.79</v>
      </c>
      <c r="I14" s="283">
        <f t="shared" si="3"/>
        <v>0</v>
      </c>
      <c r="K14" s="368"/>
    </row>
    <row r="15" spans="1:13" ht="15">
      <c r="A15" s="45"/>
      <c r="B15" s="62" t="s">
        <v>9</v>
      </c>
      <c r="C15" s="54" t="s">
        <v>160</v>
      </c>
      <c r="D15" s="78">
        <v>0</v>
      </c>
      <c r="E15" s="78">
        <v>477</v>
      </c>
      <c r="F15" s="78">
        <f t="shared" si="2"/>
        <v>477</v>
      </c>
      <c r="G15" s="325">
        <v>477</v>
      </c>
      <c r="H15" s="325">
        <v>477</v>
      </c>
      <c r="I15" s="283">
        <f t="shared" si="3"/>
        <v>0</v>
      </c>
    </row>
    <row r="16" spans="1:13" ht="15">
      <c r="A16" s="45"/>
      <c r="B16" s="62" t="s">
        <v>10</v>
      </c>
      <c r="C16" s="54" t="s">
        <v>161</v>
      </c>
      <c r="D16" s="78">
        <v>219927</v>
      </c>
      <c r="E16" s="78">
        <v>96988.34</v>
      </c>
      <c r="F16" s="78">
        <f t="shared" si="2"/>
        <v>316915.33999999997</v>
      </c>
      <c r="G16" s="78">
        <v>316915.34000000003</v>
      </c>
      <c r="H16" s="78">
        <v>316915.34000000003</v>
      </c>
      <c r="I16" s="283">
        <f t="shared" si="3"/>
        <v>0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>D17+E17</f>
        <v>0</v>
      </c>
      <c r="G17" s="78"/>
      <c r="H17" s="78"/>
      <c r="I17" s="283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691370</v>
      </c>
      <c r="E19" s="162">
        <f t="shared" ref="E19:I19" si="4">SUM(E20:E28)</f>
        <v>-212651.92</v>
      </c>
      <c r="F19" s="162">
        <f t="shared" si="4"/>
        <v>478718.07999999996</v>
      </c>
      <c r="G19" s="162">
        <f t="shared" si="4"/>
        <v>478718.07999999996</v>
      </c>
      <c r="H19" s="162">
        <f t="shared" si="4"/>
        <v>478718.07999999996</v>
      </c>
      <c r="I19" s="162">
        <f t="shared" si="4"/>
        <v>0</v>
      </c>
    </row>
    <row r="20" spans="1:11" ht="15">
      <c r="A20" s="45"/>
      <c r="B20" s="62" t="s">
        <v>13</v>
      </c>
      <c r="C20" s="54" t="s">
        <v>164</v>
      </c>
      <c r="D20" s="78">
        <v>244877</v>
      </c>
      <c r="E20" s="78">
        <v>-47821.53</v>
      </c>
      <c r="F20" s="78">
        <f>D20+E20</f>
        <v>197055.47</v>
      </c>
      <c r="G20" s="78">
        <v>197055.47</v>
      </c>
      <c r="H20" s="78">
        <v>197055.47</v>
      </c>
      <c r="I20" s="283">
        <f>F20-G20</f>
        <v>0</v>
      </c>
      <c r="K20" s="369"/>
    </row>
    <row r="21" spans="1:11" ht="15">
      <c r="A21" s="45"/>
      <c r="B21" s="62" t="s">
        <v>14</v>
      </c>
      <c r="C21" s="54" t="s">
        <v>165</v>
      </c>
      <c r="D21" s="78">
        <v>40808</v>
      </c>
      <c r="E21" s="78">
        <v>-8796.02</v>
      </c>
      <c r="F21" s="78">
        <f t="shared" ref="F21:F28" si="5">D21+E21</f>
        <v>32011.98</v>
      </c>
      <c r="G21" s="78">
        <v>32011.98</v>
      </c>
      <c r="H21" s="78">
        <v>32011.98</v>
      </c>
      <c r="I21" s="283">
        <f t="shared" ref="I21:I28" si="6">F21-G21</f>
        <v>0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si="5"/>
        <v>0</v>
      </c>
      <c r="G22" s="78"/>
      <c r="H22" s="78"/>
      <c r="I22" s="283">
        <f t="shared" si="6"/>
        <v>0</v>
      </c>
    </row>
    <row r="23" spans="1:11" ht="15">
      <c r="A23" s="45"/>
      <c r="B23" s="62" t="s">
        <v>16</v>
      </c>
      <c r="C23" s="54" t="s">
        <v>167</v>
      </c>
      <c r="D23" s="78">
        <v>21660</v>
      </c>
      <c r="E23" s="78">
        <v>41867.620000000003</v>
      </c>
      <c r="F23" s="78">
        <f t="shared" si="5"/>
        <v>63527.62</v>
      </c>
      <c r="G23" s="78">
        <v>63527.62</v>
      </c>
      <c r="H23" s="78">
        <v>63527.62</v>
      </c>
      <c r="I23" s="283">
        <f t="shared" si="6"/>
        <v>0</v>
      </c>
    </row>
    <row r="24" spans="1:11" ht="15">
      <c r="A24" s="45"/>
      <c r="B24" s="62" t="s">
        <v>17</v>
      </c>
      <c r="C24" s="54" t="s">
        <v>168</v>
      </c>
      <c r="D24" s="78">
        <v>14400</v>
      </c>
      <c r="E24" s="78">
        <v>36899.4</v>
      </c>
      <c r="F24" s="78">
        <f t="shared" si="5"/>
        <v>51299.4</v>
      </c>
      <c r="G24" s="78">
        <v>51299.4</v>
      </c>
      <c r="H24" s="78">
        <v>51299.4</v>
      </c>
      <c r="I24" s="283">
        <f t="shared" si="6"/>
        <v>0</v>
      </c>
    </row>
    <row r="25" spans="1:11" ht="15">
      <c r="A25" s="45"/>
      <c r="B25" s="62" t="s">
        <v>18</v>
      </c>
      <c r="C25" s="54" t="s">
        <v>169</v>
      </c>
      <c r="D25" s="78">
        <v>269425</v>
      </c>
      <c r="E25" s="78">
        <v>-182797.22</v>
      </c>
      <c r="F25" s="78">
        <f t="shared" si="5"/>
        <v>86627.78</v>
      </c>
      <c r="G25" s="78">
        <v>86627.78</v>
      </c>
      <c r="H25" s="78">
        <v>86627.78</v>
      </c>
      <c r="I25" s="283">
        <f t="shared" si="6"/>
        <v>0</v>
      </c>
    </row>
    <row r="26" spans="1:11" ht="15">
      <c r="A26" s="45"/>
      <c r="B26" s="62" t="s">
        <v>61</v>
      </c>
      <c r="C26" s="54" t="s">
        <v>170</v>
      </c>
      <c r="D26" s="78">
        <v>53400</v>
      </c>
      <c r="E26" s="78">
        <v>-33193.199999999997</v>
      </c>
      <c r="F26" s="78">
        <f t="shared" si="5"/>
        <v>20206.800000000003</v>
      </c>
      <c r="G26" s="78">
        <v>20206.8</v>
      </c>
      <c r="H26" s="78">
        <v>20206.8</v>
      </c>
      <c r="I26" s="283">
        <f t="shared" si="6"/>
        <v>0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5"/>
        <v>0</v>
      </c>
      <c r="G27" s="78"/>
      <c r="H27" s="78"/>
      <c r="I27" s="283">
        <f t="shared" si="6"/>
        <v>0</v>
      </c>
    </row>
    <row r="28" spans="1:11" ht="15">
      <c r="A28" s="45"/>
      <c r="B28" s="62" t="s">
        <v>224</v>
      </c>
      <c r="C28" s="54" t="s">
        <v>172</v>
      </c>
      <c r="D28" s="78">
        <v>46800</v>
      </c>
      <c r="E28" s="78">
        <v>-18810.97</v>
      </c>
      <c r="F28" s="78">
        <f t="shared" si="5"/>
        <v>27989.03</v>
      </c>
      <c r="G28" s="78">
        <v>27989.03</v>
      </c>
      <c r="H28" s="78">
        <v>27989.03</v>
      </c>
      <c r="I28" s="283">
        <f t="shared" si="6"/>
        <v>0</v>
      </c>
    </row>
    <row r="29" spans="1:11" ht="15">
      <c r="A29" s="50"/>
      <c r="B29" s="55" t="s">
        <v>230</v>
      </c>
      <c r="C29" s="56"/>
      <c r="D29" s="162">
        <f>SUM(D30:D38)</f>
        <v>1427664</v>
      </c>
      <c r="E29" s="162">
        <f t="shared" ref="E29:I29" si="7">SUM(E30:E38)</f>
        <v>-144020.18000000005</v>
      </c>
      <c r="F29" s="162">
        <f t="shared" si="7"/>
        <v>1283643.8199999998</v>
      </c>
      <c r="G29" s="162">
        <f t="shared" si="7"/>
        <v>1283643.82</v>
      </c>
      <c r="H29" s="162">
        <f t="shared" si="7"/>
        <v>1259259.53</v>
      </c>
      <c r="I29" s="162">
        <f t="shared" si="7"/>
        <v>0</v>
      </c>
    </row>
    <row r="30" spans="1:11" ht="15">
      <c r="A30" s="45"/>
      <c r="B30" s="62" t="s">
        <v>21</v>
      </c>
      <c r="C30" s="54" t="s">
        <v>173</v>
      </c>
      <c r="D30" s="78">
        <v>291474</v>
      </c>
      <c r="E30" s="78">
        <v>-89091.38</v>
      </c>
      <c r="F30" s="78">
        <f>D30+E30</f>
        <v>202382.62</v>
      </c>
      <c r="G30" s="78">
        <v>202382.62</v>
      </c>
      <c r="H30" s="78">
        <v>202382.62</v>
      </c>
      <c r="I30" s="283">
        <f>F30-G30</f>
        <v>0</v>
      </c>
      <c r="K30" s="368"/>
    </row>
    <row r="31" spans="1:11" ht="15">
      <c r="A31" s="45"/>
      <c r="B31" s="62" t="s">
        <v>22</v>
      </c>
      <c r="C31" s="54" t="s">
        <v>174</v>
      </c>
      <c r="D31" s="78">
        <v>64265</v>
      </c>
      <c r="E31" s="78">
        <v>47184.9</v>
      </c>
      <c r="F31" s="78">
        <f>D31+E31</f>
        <v>111449.9</v>
      </c>
      <c r="G31" s="78">
        <v>111449.9</v>
      </c>
      <c r="H31" s="78">
        <v>111449.9</v>
      </c>
      <c r="I31" s="283">
        <f t="shared" ref="I31:I38" si="8">F31-G31</f>
        <v>0</v>
      </c>
    </row>
    <row r="32" spans="1:11" ht="15">
      <c r="A32" s="45"/>
      <c r="B32" s="62" t="s">
        <v>23</v>
      </c>
      <c r="C32" s="54" t="s">
        <v>175</v>
      </c>
      <c r="D32" s="78">
        <v>167228</v>
      </c>
      <c r="E32" s="78">
        <v>240925.83</v>
      </c>
      <c r="F32" s="78">
        <f t="shared" ref="F32:F38" si="9">D32+E32</f>
        <v>408153.82999999996</v>
      </c>
      <c r="G32" s="78">
        <v>408153.83</v>
      </c>
      <c r="H32" s="78">
        <v>383769.54</v>
      </c>
      <c r="I32" s="283">
        <f t="shared" si="8"/>
        <v>0</v>
      </c>
      <c r="K32" s="370"/>
    </row>
    <row r="33" spans="1:9" ht="15">
      <c r="A33" s="45"/>
      <c r="B33" s="62" t="s">
        <v>24</v>
      </c>
      <c r="C33" s="54" t="s">
        <v>176</v>
      </c>
      <c r="D33" s="78">
        <v>55869</v>
      </c>
      <c r="E33" s="78">
        <v>2247.46</v>
      </c>
      <c r="F33" s="78">
        <f t="shared" si="9"/>
        <v>58116.46</v>
      </c>
      <c r="G33" s="78">
        <v>58116.46</v>
      </c>
      <c r="H33" s="78">
        <v>58116.46</v>
      </c>
      <c r="I33" s="283">
        <f t="shared" si="8"/>
        <v>0</v>
      </c>
    </row>
    <row r="34" spans="1:9" ht="15">
      <c r="A34" s="45"/>
      <c r="B34" s="62" t="s">
        <v>25</v>
      </c>
      <c r="C34" s="54" t="s">
        <v>177</v>
      </c>
      <c r="D34" s="78">
        <v>195009</v>
      </c>
      <c r="E34" s="78">
        <v>139288.76</v>
      </c>
      <c r="F34" s="78">
        <f t="shared" si="9"/>
        <v>334297.76</v>
      </c>
      <c r="G34" s="78">
        <v>334297.76</v>
      </c>
      <c r="H34" s="78">
        <v>334297.76</v>
      </c>
      <c r="I34" s="283">
        <f t="shared" si="8"/>
        <v>0</v>
      </c>
    </row>
    <row r="35" spans="1:9" ht="15">
      <c r="A35" s="45"/>
      <c r="B35" s="62" t="s">
        <v>225</v>
      </c>
      <c r="C35" s="54" t="s">
        <v>178</v>
      </c>
      <c r="D35" s="78">
        <v>56400</v>
      </c>
      <c r="E35" s="78">
        <v>-26733</v>
      </c>
      <c r="F35" s="78">
        <f t="shared" si="9"/>
        <v>29667</v>
      </c>
      <c r="G35" s="78">
        <v>29667</v>
      </c>
      <c r="H35" s="78">
        <v>29667</v>
      </c>
      <c r="I35" s="283">
        <f t="shared" si="8"/>
        <v>0</v>
      </c>
    </row>
    <row r="36" spans="1:9" ht="15">
      <c r="A36" s="45"/>
      <c r="B36" s="62" t="s">
        <v>226</v>
      </c>
      <c r="C36" s="54" t="s">
        <v>179</v>
      </c>
      <c r="D36" s="78">
        <v>500708</v>
      </c>
      <c r="E36" s="78">
        <v>-424772.7</v>
      </c>
      <c r="F36" s="78">
        <f t="shared" si="9"/>
        <v>75935.299999999988</v>
      </c>
      <c r="G36" s="78">
        <v>75935.3</v>
      </c>
      <c r="H36" s="78">
        <v>75935.3</v>
      </c>
      <c r="I36" s="283">
        <f t="shared" si="8"/>
        <v>0</v>
      </c>
    </row>
    <row r="37" spans="1:9" ht="15">
      <c r="A37" s="45"/>
      <c r="B37" s="62" t="s">
        <v>227</v>
      </c>
      <c r="C37" s="54" t="s">
        <v>180</v>
      </c>
      <c r="D37" s="78">
        <v>80511</v>
      </c>
      <c r="E37" s="78">
        <v>-49593.05</v>
      </c>
      <c r="F37" s="78">
        <f t="shared" si="9"/>
        <v>30917.949999999997</v>
      </c>
      <c r="G37" s="78">
        <v>30917.95</v>
      </c>
      <c r="H37" s="78">
        <v>30917.95</v>
      </c>
      <c r="I37" s="283">
        <f t="shared" si="8"/>
        <v>0</v>
      </c>
    </row>
    <row r="38" spans="1:9" ht="15">
      <c r="A38" s="45"/>
      <c r="B38" s="62" t="s">
        <v>228</v>
      </c>
      <c r="C38" s="54" t="s">
        <v>181</v>
      </c>
      <c r="D38" s="78">
        <v>16200</v>
      </c>
      <c r="E38" s="78">
        <v>16523</v>
      </c>
      <c r="F38" s="78">
        <f t="shared" si="9"/>
        <v>32723</v>
      </c>
      <c r="G38" s="78">
        <v>32723</v>
      </c>
      <c r="H38" s="78">
        <v>32723</v>
      </c>
      <c r="I38" s="283">
        <f t="shared" si="8"/>
        <v>0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10">SUM(E40:E48)</f>
        <v>0</v>
      </c>
      <c r="F39" s="162">
        <f t="shared" si="10"/>
        <v>0</v>
      </c>
      <c r="G39" s="162">
        <f t="shared" si="10"/>
        <v>0</v>
      </c>
      <c r="H39" s="162">
        <f t="shared" si="10"/>
        <v>0</v>
      </c>
      <c r="I39" s="162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5119802</v>
      </c>
      <c r="E49" s="162">
        <f t="shared" ref="E49:I49" si="11">SUM(E50:E58)</f>
        <v>-5081174.66</v>
      </c>
      <c r="F49" s="162">
        <f t="shared" si="11"/>
        <v>38627.339999999997</v>
      </c>
      <c r="G49" s="162">
        <f t="shared" si="11"/>
        <v>38627.339999999997</v>
      </c>
      <c r="H49" s="162">
        <f t="shared" si="11"/>
        <v>38627.339999999997</v>
      </c>
      <c r="I49" s="162">
        <f t="shared" si="11"/>
        <v>0</v>
      </c>
    </row>
    <row r="50" spans="1:9" ht="15">
      <c r="A50" s="45"/>
      <c r="B50" s="62" t="s">
        <v>84</v>
      </c>
      <c r="C50" s="54" t="s">
        <v>191</v>
      </c>
      <c r="D50" s="78">
        <v>33600</v>
      </c>
      <c r="E50" s="78">
        <v>5027.34</v>
      </c>
      <c r="F50" s="78">
        <f>D50+E50</f>
        <v>38627.339999999997</v>
      </c>
      <c r="G50" s="78">
        <v>38627.339999999997</v>
      </c>
      <c r="H50" s="78">
        <v>38627.339999999997</v>
      </c>
      <c r="I50" s="283">
        <f>F50-G50</f>
        <v>0</v>
      </c>
    </row>
    <row r="51" spans="1:9" ht="15">
      <c r="A51" s="45"/>
      <c r="B51" s="62" t="s">
        <v>85</v>
      </c>
      <c r="C51" s="54" t="s">
        <v>192</v>
      </c>
      <c r="D51" s="78"/>
      <c r="E51" s="78"/>
      <c r="F51" s="283">
        <f t="shared" ref="F51:F58" si="12">D51+E51</f>
        <v>0</v>
      </c>
      <c r="G51" s="78"/>
      <c r="H51" s="78"/>
      <c r="I51" s="283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3">
        <f t="shared" si="12"/>
        <v>0</v>
      </c>
      <c r="G52" s="78"/>
      <c r="H52" s="78"/>
      <c r="I52" s="283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5086202</v>
      </c>
      <c r="E53" s="78">
        <v>-5086202</v>
      </c>
      <c r="F53" s="283">
        <f t="shared" si="12"/>
        <v>0</v>
      </c>
      <c r="G53" s="283"/>
      <c r="H53" s="283"/>
      <c r="I53" s="283">
        <f t="shared" si="13"/>
        <v>0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2"/>
        <v>0</v>
      </c>
      <c r="G54" s="78"/>
      <c r="H54" s="78"/>
      <c r="I54" s="283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3">
        <f t="shared" si="12"/>
        <v>0</v>
      </c>
      <c r="G55" s="78"/>
      <c r="H55" s="78"/>
      <c r="I55" s="283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2"/>
        <v>0</v>
      </c>
      <c r="G56" s="78"/>
      <c r="H56" s="78"/>
      <c r="I56" s="283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2"/>
        <v>0</v>
      </c>
      <c r="G57" s="78"/>
      <c r="H57" s="78"/>
      <c r="I57" s="283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2"/>
        <v>0</v>
      </c>
      <c r="G58" s="78"/>
      <c r="H58" s="78"/>
      <c r="I58" s="283">
        <f t="shared" si="13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4">SUM(E60:E62)</f>
        <v>0</v>
      </c>
      <c r="F59" s="162">
        <f t="shared" si="14"/>
        <v>0</v>
      </c>
      <c r="G59" s="162">
        <f t="shared" si="14"/>
        <v>0</v>
      </c>
      <c r="H59" s="162">
        <f t="shared" si="14"/>
        <v>0</v>
      </c>
      <c r="I59" s="162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5">SUM(E64:E70)</f>
        <v>0</v>
      </c>
      <c r="F63" s="162">
        <f t="shared" si="15"/>
        <v>0</v>
      </c>
      <c r="G63" s="162">
        <f t="shared" si="15"/>
        <v>0</v>
      </c>
      <c r="H63" s="162">
        <f t="shared" si="15"/>
        <v>0</v>
      </c>
      <c r="I63" s="162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6">SUM(E72:E74)</f>
        <v>0</v>
      </c>
      <c r="F71" s="162">
        <f t="shared" si="16"/>
        <v>0</v>
      </c>
      <c r="G71" s="162">
        <f t="shared" si="16"/>
        <v>0</v>
      </c>
      <c r="H71" s="162">
        <f t="shared" si="16"/>
        <v>0</v>
      </c>
      <c r="I71" s="162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7">SUM(E76:E82)</f>
        <v>0</v>
      </c>
      <c r="F75" s="162">
        <f t="shared" si="17"/>
        <v>0</v>
      </c>
      <c r="G75" s="162">
        <f t="shared" si="17"/>
        <v>0</v>
      </c>
      <c r="H75" s="162">
        <f t="shared" si="17"/>
        <v>0</v>
      </c>
      <c r="I75" s="162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9283612</v>
      </c>
      <c r="E83" s="49">
        <f t="shared" ref="E83:I83" si="18">+E84+E92+E102+E112+E122+E132+E136+E144+E148</f>
        <v>1446866.9300000002</v>
      </c>
      <c r="F83" s="49">
        <f t="shared" si="18"/>
        <v>10730478.930000003</v>
      </c>
      <c r="G83" s="49">
        <f t="shared" si="18"/>
        <v>10730478.930000002</v>
      </c>
      <c r="H83" s="49">
        <f t="shared" si="18"/>
        <v>10691208.41</v>
      </c>
      <c r="I83" s="49">
        <f t="shared" si="18"/>
        <v>0</v>
      </c>
      <c r="L83" s="368"/>
    </row>
    <row r="84" spans="1:12" ht="15">
      <c r="A84" s="50"/>
      <c r="B84" s="51" t="s">
        <v>221</v>
      </c>
      <c r="C84" s="52"/>
      <c r="D84" s="53">
        <f>SUM(D85:D91)</f>
        <v>7674831</v>
      </c>
      <c r="E84" s="53">
        <f t="shared" ref="E84:I84" si="19">SUM(E85:E91)</f>
        <v>953009.01</v>
      </c>
      <c r="F84" s="53">
        <f t="shared" si="19"/>
        <v>8627840.0100000016</v>
      </c>
      <c r="G84" s="53">
        <f t="shared" si="19"/>
        <v>8627840.0099999998</v>
      </c>
      <c r="H84" s="53">
        <f t="shared" si="19"/>
        <v>8627840.0099999998</v>
      </c>
      <c r="I84" s="53">
        <f t="shared" si="19"/>
        <v>0</v>
      </c>
    </row>
    <row r="85" spans="1:12" ht="15">
      <c r="A85" s="45"/>
      <c r="B85" s="62" t="s">
        <v>6</v>
      </c>
      <c r="C85" s="54" t="s">
        <v>157</v>
      </c>
      <c r="D85" s="78">
        <v>5256831</v>
      </c>
      <c r="E85" s="78">
        <v>649612.81000000006</v>
      </c>
      <c r="F85" s="78">
        <f>D85+E85</f>
        <v>5906443.8100000005</v>
      </c>
      <c r="G85" s="78">
        <v>5906443.8099999996</v>
      </c>
      <c r="H85" s="78">
        <v>5906443.8099999996</v>
      </c>
      <c r="I85" s="283">
        <f>F85-G85</f>
        <v>0</v>
      </c>
      <c r="K85" s="368"/>
    </row>
    <row r="86" spans="1:12" ht="15">
      <c r="A86" s="45"/>
      <c r="B86" s="62" t="s">
        <v>7</v>
      </c>
      <c r="C86" s="54" t="s">
        <v>158</v>
      </c>
      <c r="E86" s="78"/>
      <c r="F86" s="283">
        <f t="shared" ref="F86:F91" si="20">D86+E86</f>
        <v>0</v>
      </c>
      <c r="G86" s="78"/>
      <c r="H86" s="78"/>
      <c r="I86" s="283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1020000</v>
      </c>
      <c r="E87" s="78">
        <v>26892.66</v>
      </c>
      <c r="F87" s="78">
        <f t="shared" si="20"/>
        <v>1046892.66</v>
      </c>
      <c r="G87" s="78">
        <v>1046892.66</v>
      </c>
      <c r="H87" s="78">
        <v>1046892.66</v>
      </c>
      <c r="I87" s="283">
        <f t="shared" si="21"/>
        <v>0</v>
      </c>
    </row>
    <row r="88" spans="1:12" ht="15">
      <c r="A88" s="45"/>
      <c r="B88" s="62" t="s">
        <v>9</v>
      </c>
      <c r="C88" s="54" t="s">
        <v>160</v>
      </c>
      <c r="D88" s="78">
        <v>840000</v>
      </c>
      <c r="E88" s="78">
        <v>81262.83</v>
      </c>
      <c r="F88" s="78">
        <f t="shared" si="20"/>
        <v>921262.83</v>
      </c>
      <c r="G88" s="78">
        <v>921262.83</v>
      </c>
      <c r="H88" s="78">
        <v>921262.83</v>
      </c>
      <c r="I88" s="283">
        <f t="shared" si="21"/>
        <v>0</v>
      </c>
    </row>
    <row r="89" spans="1:12" ht="15">
      <c r="A89" s="45"/>
      <c r="B89" s="62" t="s">
        <v>10</v>
      </c>
      <c r="C89" s="54" t="s">
        <v>161</v>
      </c>
      <c r="D89" s="78">
        <v>558000</v>
      </c>
      <c r="E89" s="78">
        <v>195240.71</v>
      </c>
      <c r="F89" s="78">
        <f t="shared" si="20"/>
        <v>753240.71</v>
      </c>
      <c r="G89" s="78">
        <v>753240.71</v>
      </c>
      <c r="H89" s="78">
        <v>753240.71</v>
      </c>
      <c r="I89" s="283">
        <f t="shared" si="21"/>
        <v>0</v>
      </c>
    </row>
    <row r="90" spans="1:12" ht="15">
      <c r="A90" s="45"/>
      <c r="B90" s="62" t="s">
        <v>11</v>
      </c>
      <c r="C90" s="54" t="s">
        <v>162</v>
      </c>
      <c r="D90" s="78">
        <v>0</v>
      </c>
      <c r="E90" s="78">
        <v>0</v>
      </c>
      <c r="F90" s="78">
        <f t="shared" si="20"/>
        <v>0</v>
      </c>
      <c r="G90" s="78"/>
      <c r="H90" s="78"/>
      <c r="I90" s="283">
        <f t="shared" si="21"/>
        <v>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20"/>
        <v>0</v>
      </c>
      <c r="G91" s="78"/>
      <c r="H91" s="78"/>
      <c r="I91" s="283">
        <f t="shared" si="21"/>
        <v>0</v>
      </c>
    </row>
    <row r="92" spans="1:12" ht="15">
      <c r="A92" s="50"/>
      <c r="B92" s="55" t="s">
        <v>229</v>
      </c>
      <c r="C92" s="56"/>
      <c r="D92" s="162">
        <f>SUM(D93:D101)</f>
        <v>464155</v>
      </c>
      <c r="E92" s="162">
        <f t="shared" ref="E92:I92" si="22">SUM(E93:E101)</f>
        <v>-107970.94</v>
      </c>
      <c r="F92" s="162">
        <f t="shared" si="22"/>
        <v>356184.06</v>
      </c>
      <c r="G92" s="162">
        <f t="shared" si="22"/>
        <v>356184.06</v>
      </c>
      <c r="H92" s="162">
        <f t="shared" si="22"/>
        <v>351917.54</v>
      </c>
      <c r="I92" s="162">
        <f t="shared" si="22"/>
        <v>0</v>
      </c>
    </row>
    <row r="93" spans="1:12" ht="15">
      <c r="A93" s="45"/>
      <c r="B93" s="62" t="s">
        <v>13</v>
      </c>
      <c r="C93" s="54" t="s">
        <v>164</v>
      </c>
      <c r="D93" s="78">
        <v>168320</v>
      </c>
      <c r="E93" s="78">
        <v>-30924.63</v>
      </c>
      <c r="F93" s="78">
        <f>D93+E93</f>
        <v>137395.37</v>
      </c>
      <c r="G93" s="78">
        <v>137395.37</v>
      </c>
      <c r="H93" s="78">
        <v>134340.68</v>
      </c>
      <c r="I93" s="283">
        <f>F93-G93</f>
        <v>0</v>
      </c>
    </row>
    <row r="94" spans="1:12" ht="15">
      <c r="A94" s="45"/>
      <c r="B94" s="62" t="s">
        <v>14</v>
      </c>
      <c r="C94" s="54" t="s">
        <v>165</v>
      </c>
      <c r="D94" s="78">
        <v>30604</v>
      </c>
      <c r="E94" s="78">
        <v>-25838.83</v>
      </c>
      <c r="F94" s="78">
        <f t="shared" ref="F94:F100" si="23">D94+E94</f>
        <v>4765.1699999999983</v>
      </c>
      <c r="G94" s="78">
        <v>4765.17</v>
      </c>
      <c r="H94" s="78">
        <v>4765.17</v>
      </c>
      <c r="I94" s="283">
        <f t="shared" ref="I94:I101" si="24">F94-G94</f>
        <v>0</v>
      </c>
    </row>
    <row r="95" spans="1:12" ht="15">
      <c r="A95" s="45"/>
      <c r="B95" s="62" t="s">
        <v>15</v>
      </c>
      <c r="C95" s="54" t="s">
        <v>166</v>
      </c>
      <c r="D95" s="78">
        <v>0</v>
      </c>
      <c r="E95" s="78"/>
      <c r="F95" s="283">
        <f t="shared" si="23"/>
        <v>0</v>
      </c>
      <c r="G95" s="78"/>
      <c r="H95" s="78"/>
      <c r="I95" s="283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12000</v>
      </c>
      <c r="E96" s="78">
        <v>15951.5</v>
      </c>
      <c r="F96" s="78">
        <f t="shared" si="23"/>
        <v>27951.5</v>
      </c>
      <c r="G96" s="78">
        <v>27951.5</v>
      </c>
      <c r="H96" s="78">
        <v>27951.5</v>
      </c>
      <c r="I96" s="283">
        <f t="shared" si="24"/>
        <v>0</v>
      </c>
    </row>
    <row r="97" spans="1:9" ht="15">
      <c r="A97" s="45"/>
      <c r="B97" s="62" t="s">
        <v>17</v>
      </c>
      <c r="C97" s="54" t="s">
        <v>168</v>
      </c>
      <c r="D97" s="78">
        <v>7750</v>
      </c>
      <c r="E97" s="78">
        <v>9781.16</v>
      </c>
      <c r="F97" s="78">
        <f t="shared" si="23"/>
        <v>17531.16</v>
      </c>
      <c r="G97" s="78">
        <v>17531.16</v>
      </c>
      <c r="H97" s="78">
        <v>17531.16</v>
      </c>
      <c r="I97" s="283">
        <f t="shared" si="24"/>
        <v>0</v>
      </c>
    </row>
    <row r="98" spans="1:9" ht="15">
      <c r="A98" s="45"/>
      <c r="B98" s="62" t="s">
        <v>18</v>
      </c>
      <c r="C98" s="54" t="s">
        <v>169</v>
      </c>
      <c r="D98" s="78">
        <v>167332</v>
      </c>
      <c r="E98" s="78">
        <v>-18801.7</v>
      </c>
      <c r="F98" s="78">
        <f>D98+E98</f>
        <v>148530.29999999999</v>
      </c>
      <c r="G98" s="78">
        <v>148530.29999999999</v>
      </c>
      <c r="H98" s="78">
        <v>147318.47</v>
      </c>
      <c r="I98" s="283">
        <f t="shared" si="24"/>
        <v>0</v>
      </c>
    </row>
    <row r="99" spans="1:9" ht="15">
      <c r="A99" s="45"/>
      <c r="B99" s="62" t="s">
        <v>61</v>
      </c>
      <c r="C99" s="54" t="s">
        <v>170</v>
      </c>
      <c r="D99" s="78">
        <v>32749</v>
      </c>
      <c r="E99" s="78">
        <v>-19549</v>
      </c>
      <c r="F99" s="78">
        <f t="shared" si="23"/>
        <v>13200</v>
      </c>
      <c r="G99" s="78">
        <v>13200</v>
      </c>
      <c r="H99" s="78">
        <v>13200</v>
      </c>
      <c r="I99" s="283">
        <f t="shared" si="24"/>
        <v>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3"/>
        <v>0</v>
      </c>
      <c r="G100" s="78"/>
      <c r="H100" s="78"/>
      <c r="I100" s="283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>
        <v>45400</v>
      </c>
      <c r="E101" s="78">
        <v>-38589.440000000002</v>
      </c>
      <c r="F101" s="78">
        <v>6810.56</v>
      </c>
      <c r="G101" s="78">
        <v>6810.56</v>
      </c>
      <c r="H101" s="78">
        <v>6810.56</v>
      </c>
      <c r="I101" s="283">
        <f t="shared" si="24"/>
        <v>0</v>
      </c>
    </row>
    <row r="102" spans="1:9" ht="15">
      <c r="A102" s="50"/>
      <c r="B102" s="55" t="s">
        <v>230</v>
      </c>
      <c r="C102" s="56"/>
      <c r="D102" s="162">
        <f>SUM(D103:D111)</f>
        <v>1144626</v>
      </c>
      <c r="E102" s="162">
        <f t="shared" ref="E102:I102" si="25">SUM(E103:E111)</f>
        <v>258455.72000000009</v>
      </c>
      <c r="F102" s="162">
        <f t="shared" si="25"/>
        <v>1403081.72</v>
      </c>
      <c r="G102" s="162">
        <f t="shared" si="25"/>
        <v>1403081.72</v>
      </c>
      <c r="H102" s="162">
        <f t="shared" si="25"/>
        <v>1368077.72</v>
      </c>
      <c r="I102" s="162">
        <f t="shared" si="25"/>
        <v>0</v>
      </c>
    </row>
    <row r="103" spans="1:9" ht="15">
      <c r="A103" s="45"/>
      <c r="B103" s="62" t="s">
        <v>21</v>
      </c>
      <c r="C103" s="54" t="s">
        <v>173</v>
      </c>
      <c r="D103" s="78">
        <v>296026</v>
      </c>
      <c r="E103" s="78">
        <v>-117445.22</v>
      </c>
      <c r="F103" s="78">
        <f>D103+E103</f>
        <v>178580.78</v>
      </c>
      <c r="G103" s="78">
        <v>178580.78</v>
      </c>
      <c r="H103" s="78">
        <v>166660.78</v>
      </c>
      <c r="I103" s="283">
        <f>F103-G103</f>
        <v>0</v>
      </c>
    </row>
    <row r="104" spans="1:9" ht="15">
      <c r="A104" s="45"/>
      <c r="B104" s="62" t="s">
        <v>22</v>
      </c>
      <c r="C104" s="54" t="s">
        <v>174</v>
      </c>
      <c r="D104" s="78">
        <v>26837</v>
      </c>
      <c r="E104" s="78">
        <v>126875</v>
      </c>
      <c r="F104" s="78">
        <f t="shared" ref="F104:F111" si="26">D104+E104</f>
        <v>153712</v>
      </c>
      <c r="G104" s="78">
        <v>153712</v>
      </c>
      <c r="H104" s="78">
        <v>153712</v>
      </c>
      <c r="I104" s="283">
        <f t="shared" ref="I104:I111" si="27">F104-G104</f>
        <v>0</v>
      </c>
    </row>
    <row r="105" spans="1:9" ht="15">
      <c r="A105" s="45"/>
      <c r="B105" s="62" t="s">
        <v>23</v>
      </c>
      <c r="C105" s="54" t="s">
        <v>175</v>
      </c>
      <c r="D105" s="78">
        <v>244396</v>
      </c>
      <c r="E105" s="78">
        <v>408067.34</v>
      </c>
      <c r="F105" s="78">
        <f t="shared" si="26"/>
        <v>652463.34000000008</v>
      </c>
      <c r="G105" s="78">
        <v>652463.34</v>
      </c>
      <c r="H105" s="78">
        <v>652463.34</v>
      </c>
      <c r="I105" s="283">
        <f t="shared" si="27"/>
        <v>0</v>
      </c>
    </row>
    <row r="106" spans="1:9" ht="15">
      <c r="A106" s="45"/>
      <c r="B106" s="62" t="s">
        <v>24</v>
      </c>
      <c r="C106" s="54" t="s">
        <v>176</v>
      </c>
      <c r="D106" s="78">
        <v>25805</v>
      </c>
      <c r="E106" s="78">
        <v>101562.91</v>
      </c>
      <c r="F106" s="78">
        <f t="shared" si="26"/>
        <v>127367.91</v>
      </c>
      <c r="G106" s="78">
        <v>127367.91</v>
      </c>
      <c r="H106" s="78">
        <v>127367.91</v>
      </c>
      <c r="I106" s="283">
        <f t="shared" si="27"/>
        <v>0</v>
      </c>
    </row>
    <row r="107" spans="1:9" ht="15">
      <c r="A107" s="45"/>
      <c r="B107" s="62" t="s">
        <v>25</v>
      </c>
      <c r="C107" s="54" t="s">
        <v>177</v>
      </c>
      <c r="D107" s="78">
        <v>192678</v>
      </c>
      <c r="E107" s="78">
        <v>60262.53</v>
      </c>
      <c r="F107" s="78">
        <f t="shared" si="26"/>
        <v>252940.53</v>
      </c>
      <c r="G107" s="78">
        <v>252940.53</v>
      </c>
      <c r="H107" s="78">
        <v>252940.53</v>
      </c>
      <c r="I107" s="283">
        <f t="shared" si="27"/>
        <v>0</v>
      </c>
    </row>
    <row r="108" spans="1:9" ht="15">
      <c r="A108" s="45"/>
      <c r="B108" s="62" t="s">
        <v>225</v>
      </c>
      <c r="C108" s="54" t="s">
        <v>178</v>
      </c>
      <c r="D108" s="78">
        <v>42000</v>
      </c>
      <c r="E108" s="78">
        <v>-18916</v>
      </c>
      <c r="F108" s="78">
        <f t="shared" si="26"/>
        <v>23084</v>
      </c>
      <c r="G108" s="78">
        <v>23084</v>
      </c>
      <c r="H108" s="78">
        <v>0</v>
      </c>
      <c r="I108" s="283">
        <f t="shared" si="27"/>
        <v>0</v>
      </c>
    </row>
    <row r="109" spans="1:9" ht="15">
      <c r="A109" s="45"/>
      <c r="B109" s="62" t="s">
        <v>226</v>
      </c>
      <c r="C109" s="54" t="s">
        <v>179</v>
      </c>
      <c r="D109" s="78">
        <v>257195</v>
      </c>
      <c r="E109" s="78">
        <v>-252261.84</v>
      </c>
      <c r="F109" s="78">
        <f t="shared" si="26"/>
        <v>4933.1600000000035</v>
      </c>
      <c r="G109" s="78">
        <v>4933.16</v>
      </c>
      <c r="H109" s="78">
        <v>4933.16</v>
      </c>
      <c r="I109" s="283">
        <f t="shared" si="27"/>
        <v>0</v>
      </c>
    </row>
    <row r="110" spans="1:9" ht="15">
      <c r="A110" s="45"/>
      <c r="B110" s="62" t="s">
        <v>227</v>
      </c>
      <c r="C110" s="54" t="s">
        <v>180</v>
      </c>
      <c r="D110" s="78">
        <v>56089</v>
      </c>
      <c r="E110" s="78">
        <v>-46089</v>
      </c>
      <c r="F110" s="78">
        <f t="shared" si="26"/>
        <v>10000</v>
      </c>
      <c r="G110" s="78">
        <v>10000</v>
      </c>
      <c r="H110" s="78">
        <v>10000</v>
      </c>
      <c r="I110" s="283">
        <f t="shared" si="27"/>
        <v>0</v>
      </c>
    </row>
    <row r="111" spans="1:9" ht="15">
      <c r="A111" s="45"/>
      <c r="B111" s="62" t="s">
        <v>228</v>
      </c>
      <c r="C111" s="54" t="s">
        <v>181</v>
      </c>
      <c r="D111" s="78">
        <v>3600</v>
      </c>
      <c r="E111" s="78">
        <v>-3600</v>
      </c>
      <c r="F111" s="78">
        <f t="shared" si="26"/>
        <v>0</v>
      </c>
      <c r="G111" s="78"/>
      <c r="H111" s="78"/>
      <c r="I111" s="283">
        <f t="shared" si="27"/>
        <v>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8">SUM(E113:E121)</f>
        <v>0</v>
      </c>
      <c r="F112" s="162">
        <f t="shared" si="28"/>
        <v>0</v>
      </c>
      <c r="G112" s="162">
        <f t="shared" si="28"/>
        <v>0</v>
      </c>
      <c r="H112" s="162">
        <f t="shared" si="28"/>
        <v>0</v>
      </c>
      <c r="I112" s="162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9">SUM(E123:E131)</f>
        <v>343373.14</v>
      </c>
      <c r="F122" s="162">
        <f t="shared" si="29"/>
        <v>343373.14</v>
      </c>
      <c r="G122" s="162">
        <f t="shared" si="29"/>
        <v>343373.14</v>
      </c>
      <c r="H122" s="162">
        <f t="shared" si="29"/>
        <v>343373.14</v>
      </c>
      <c r="I122" s="162">
        <f t="shared" si="29"/>
        <v>0</v>
      </c>
    </row>
    <row r="123" spans="1:9" ht="15">
      <c r="A123" s="45"/>
      <c r="B123" s="62" t="s">
        <v>84</v>
      </c>
      <c r="C123" s="54" t="s">
        <v>191</v>
      </c>
      <c r="D123" s="78"/>
      <c r="E123" s="283">
        <v>87609.21</v>
      </c>
      <c r="F123" s="283">
        <f>D123+E123</f>
        <v>87609.21</v>
      </c>
      <c r="G123" s="283">
        <v>87609.21</v>
      </c>
      <c r="H123" s="283">
        <v>87609.21</v>
      </c>
      <c r="I123" s="283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283">
        <f t="shared" ref="F124:F131" si="30">D124+E124</f>
        <v>0</v>
      </c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>
        <v>54220</v>
      </c>
      <c r="F125" s="283">
        <f t="shared" si="30"/>
        <v>54220</v>
      </c>
      <c r="G125" s="78">
        <v>54220</v>
      </c>
      <c r="H125" s="78">
        <v>54220</v>
      </c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283">
        <f t="shared" si="30"/>
        <v>0</v>
      </c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283">
        <f t="shared" si="30"/>
        <v>0</v>
      </c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>
        <v>66013.929999999993</v>
      </c>
      <c r="F128" s="283">
        <f t="shared" si="30"/>
        <v>66013.929999999993</v>
      </c>
      <c r="G128" s="78">
        <v>66013.929999999993</v>
      </c>
      <c r="H128" s="78">
        <v>66013.929999999993</v>
      </c>
      <c r="I128" s="283">
        <f>F128-G128</f>
        <v>0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283">
        <f t="shared" si="30"/>
        <v>0</v>
      </c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283">
        <f t="shared" si="30"/>
        <v>0</v>
      </c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>
        <v>135530</v>
      </c>
      <c r="F131" s="283">
        <f t="shared" si="30"/>
        <v>135530</v>
      </c>
      <c r="G131" s="78">
        <v>135530</v>
      </c>
      <c r="H131" s="78">
        <v>135530</v>
      </c>
      <c r="I131" s="283">
        <f>F131-G131</f>
        <v>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31">SUM(E133:E135)</f>
        <v>0</v>
      </c>
      <c r="F132" s="162">
        <f t="shared" si="31"/>
        <v>0</v>
      </c>
      <c r="G132" s="162">
        <f t="shared" si="31"/>
        <v>0</v>
      </c>
      <c r="H132" s="162">
        <f t="shared" si="31"/>
        <v>0</v>
      </c>
      <c r="I132" s="162">
        <f t="shared" si="31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69"/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2">SUM(E137:E143)</f>
        <v>0</v>
      </c>
      <c r="F136" s="162">
        <f t="shared" si="32"/>
        <v>0</v>
      </c>
      <c r="G136" s="162">
        <f t="shared" si="32"/>
        <v>0</v>
      </c>
      <c r="H136" s="162">
        <f t="shared" si="32"/>
        <v>0</v>
      </c>
      <c r="I136" s="162">
        <f t="shared" si="32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3">SUM(E145:E147)</f>
        <v>0</v>
      </c>
      <c r="F144" s="162">
        <f t="shared" si="33"/>
        <v>0</v>
      </c>
      <c r="G144" s="162">
        <f t="shared" si="33"/>
        <v>0</v>
      </c>
      <c r="H144" s="162">
        <f t="shared" si="33"/>
        <v>0</v>
      </c>
      <c r="I144" s="162">
        <f t="shared" si="33"/>
        <v>0</v>
      </c>
    </row>
    <row r="145" spans="1:15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5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368"/>
    </row>
    <row r="147" spans="1:15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5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4">SUM(E149:E155)</f>
        <v>0</v>
      </c>
      <c r="F148" s="162">
        <f t="shared" si="34"/>
        <v>0</v>
      </c>
      <c r="G148" s="162">
        <f t="shared" si="34"/>
        <v>0</v>
      </c>
      <c r="H148" s="162">
        <f t="shared" si="34"/>
        <v>0</v>
      </c>
      <c r="I148" s="162">
        <f t="shared" si="34"/>
        <v>0</v>
      </c>
    </row>
    <row r="149" spans="1:15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5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5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5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5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5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5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5" ht="15">
      <c r="A156" s="45"/>
      <c r="B156" s="59" t="s">
        <v>220</v>
      </c>
      <c r="C156" s="60"/>
      <c r="D156" s="61">
        <f>+D10+D83</f>
        <v>19407224</v>
      </c>
      <c r="E156" s="61">
        <f t="shared" ref="E156:I156" si="35">+E10+E83</f>
        <v>-2423219.7599999998</v>
      </c>
      <c r="F156" s="61">
        <f t="shared" si="35"/>
        <v>16984004.240000002</v>
      </c>
      <c r="G156" s="61">
        <f t="shared" si="35"/>
        <v>16984004.240000002</v>
      </c>
      <c r="H156" s="61">
        <f t="shared" si="35"/>
        <v>16920349.43</v>
      </c>
      <c r="I156" s="61">
        <f t="shared" si="35"/>
        <v>0</v>
      </c>
    </row>
    <row r="157" spans="1:15">
      <c r="G157" s="69"/>
    </row>
    <row r="158" spans="1:15" s="317" customFormat="1">
      <c r="D158" s="331">
        <v>19407224</v>
      </c>
      <c r="E158" s="331">
        <v>1759873.9100000001</v>
      </c>
      <c r="F158" s="331">
        <v>21167097.91</v>
      </c>
      <c r="G158" s="331">
        <v>9620400.7199999988</v>
      </c>
      <c r="H158" s="331">
        <v>9544959.4800000004</v>
      </c>
      <c r="I158" s="331">
        <v>11546697.189999999</v>
      </c>
      <c r="K158" s="371"/>
      <c r="L158" s="371"/>
      <c r="M158" s="371"/>
      <c r="N158" s="371"/>
      <c r="O158" s="371"/>
    </row>
    <row r="159" spans="1:15" s="317" customFormat="1">
      <c r="K159" s="371"/>
      <c r="L159" s="371"/>
      <c r="M159" s="371"/>
      <c r="N159" s="371"/>
      <c r="O159" s="371"/>
    </row>
    <row r="160" spans="1:15" s="317" customFormat="1">
      <c r="D160" s="318">
        <f>D158-D156</f>
        <v>0</v>
      </c>
      <c r="E160" s="318">
        <f t="shared" ref="E160:I160" si="36">E158-E156</f>
        <v>4183093.67</v>
      </c>
      <c r="F160" s="318">
        <f t="shared" si="36"/>
        <v>4183093.6699999981</v>
      </c>
      <c r="G160" s="318">
        <f t="shared" si="36"/>
        <v>-7363603.5200000033</v>
      </c>
      <c r="H160" s="318">
        <f t="shared" si="36"/>
        <v>-7375389.9499999993</v>
      </c>
      <c r="I160" s="318">
        <f t="shared" si="36"/>
        <v>11546697.189999999</v>
      </c>
      <c r="K160" s="371"/>
      <c r="L160" s="371"/>
      <c r="M160" s="371"/>
      <c r="N160" s="371"/>
      <c r="O160" s="371"/>
    </row>
    <row r="163" spans="5:5">
      <c r="E163" s="69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1"/>
  <sheetViews>
    <sheetView zoomScale="93" zoomScaleNormal="90" workbookViewId="0">
      <selection activeCell="G29" sqref="G29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79" t="s">
        <v>525</v>
      </c>
      <c r="C2" s="480"/>
      <c r="D2" s="480"/>
      <c r="E2" s="480"/>
      <c r="F2" s="480"/>
      <c r="G2" s="480"/>
      <c r="H2" s="481"/>
      <c r="K2" s="332"/>
      <c r="L2" s="332"/>
      <c r="M2" s="332"/>
      <c r="N2" s="332"/>
      <c r="O2" s="332"/>
      <c r="P2" s="332"/>
      <c r="Q2" s="332"/>
      <c r="R2" s="332"/>
      <c r="S2" s="332"/>
    </row>
    <row r="3" spans="2:22" s="152" customFormat="1">
      <c r="B3" s="482" t="s">
        <v>470</v>
      </c>
      <c r="C3" s="458"/>
      <c r="D3" s="458"/>
      <c r="E3" s="458"/>
      <c r="F3" s="458"/>
      <c r="G3" s="458"/>
      <c r="H3" s="483"/>
      <c r="K3" s="332"/>
      <c r="L3" s="332"/>
      <c r="M3" s="332"/>
      <c r="N3" s="332"/>
      <c r="O3" s="332"/>
      <c r="P3" s="332"/>
      <c r="Q3" s="332"/>
      <c r="R3" s="332"/>
      <c r="S3" s="332"/>
    </row>
    <row r="4" spans="2:22" s="152" customFormat="1">
      <c r="B4" s="484" t="s">
        <v>471</v>
      </c>
      <c r="C4" s="461"/>
      <c r="D4" s="461"/>
      <c r="E4" s="461"/>
      <c r="F4" s="461"/>
      <c r="G4" s="461"/>
      <c r="H4" s="485"/>
      <c r="K4" s="332"/>
      <c r="L4" s="332"/>
      <c r="M4" s="332"/>
      <c r="N4" s="332"/>
      <c r="O4" s="332"/>
      <c r="P4" s="332"/>
      <c r="Q4" s="332"/>
      <c r="R4" s="332"/>
      <c r="S4" s="332"/>
    </row>
    <row r="5" spans="2:22" s="152" customFormat="1">
      <c r="B5" s="484" t="s">
        <v>538</v>
      </c>
      <c r="C5" s="461"/>
      <c r="D5" s="461"/>
      <c r="E5" s="461"/>
      <c r="F5" s="461"/>
      <c r="G5" s="461"/>
      <c r="H5" s="485"/>
      <c r="K5" s="332"/>
      <c r="L5" s="332"/>
      <c r="M5" s="332"/>
      <c r="N5" s="332"/>
      <c r="O5" s="332"/>
      <c r="P5" s="332"/>
      <c r="Q5" s="332"/>
      <c r="R5" s="332"/>
      <c r="S5" s="332"/>
    </row>
    <row r="6" spans="2:22" s="152" customFormat="1" ht="15.75" thickBot="1">
      <c r="B6" s="486" t="s">
        <v>4</v>
      </c>
      <c r="C6" s="487"/>
      <c r="D6" s="487"/>
      <c r="E6" s="487"/>
      <c r="F6" s="487"/>
      <c r="G6" s="487"/>
      <c r="H6" s="488"/>
      <c r="K6" s="332"/>
      <c r="L6" s="332"/>
      <c r="M6" s="332"/>
      <c r="N6" s="332"/>
      <c r="O6" s="332"/>
      <c r="P6" s="332"/>
      <c r="Q6" s="332"/>
      <c r="R6" s="332"/>
      <c r="S6" s="332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333"/>
      <c r="L7" s="333"/>
      <c r="M7" s="333"/>
      <c r="N7" s="333"/>
      <c r="O7" s="333"/>
      <c r="P7" s="333"/>
      <c r="Q7" s="333"/>
      <c r="R7" s="333"/>
      <c r="S7" s="333"/>
    </row>
    <row r="8" spans="2:22" s="152" customFormat="1" ht="15.75" thickBot="1">
      <c r="B8" s="476" t="s">
        <v>128</v>
      </c>
      <c r="C8" s="478" t="s">
        <v>456</v>
      </c>
      <c r="D8" s="478"/>
      <c r="E8" s="478"/>
      <c r="F8" s="478"/>
      <c r="G8" s="478"/>
      <c r="H8" s="476" t="s">
        <v>149</v>
      </c>
      <c r="K8" s="332"/>
      <c r="L8" s="332"/>
      <c r="M8" s="332"/>
      <c r="N8" s="332"/>
      <c r="O8" s="332"/>
      <c r="P8" s="332"/>
      <c r="Q8" s="332"/>
      <c r="R8" s="332"/>
      <c r="S8" s="332"/>
    </row>
    <row r="9" spans="2:22" s="152" customFormat="1" ht="30.75" thickBot="1">
      <c r="B9" s="477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77"/>
      <c r="J9" s="320"/>
      <c r="K9" s="334"/>
      <c r="L9" s="334"/>
      <c r="M9" s="334"/>
      <c r="N9" s="334"/>
      <c r="O9" s="334"/>
      <c r="P9" s="334"/>
      <c r="Q9" s="334"/>
      <c r="R9" s="334"/>
      <c r="S9" s="334"/>
      <c r="T9" s="320"/>
      <c r="U9" s="320"/>
      <c r="V9" s="320"/>
    </row>
    <row r="10" spans="2:22" s="116" customFormat="1">
      <c r="B10" s="115" t="s">
        <v>457</v>
      </c>
      <c r="C10" s="324">
        <f>SUM(C12:C17)</f>
        <v>10123612</v>
      </c>
      <c r="D10" s="324">
        <f t="shared" ref="D10:E10" si="0">SUM(D12:D17)</f>
        <v>-3870086.69</v>
      </c>
      <c r="E10" s="324">
        <f t="shared" si="0"/>
        <v>6253525.3100000005</v>
      </c>
      <c r="F10" s="324">
        <f>SUM(F12:F17)</f>
        <v>6253525.3100000005</v>
      </c>
      <c r="G10" s="324">
        <f>SUM(G12:G17)</f>
        <v>6229141.0199999996</v>
      </c>
      <c r="H10" s="324">
        <f>SUM(H12:H17)</f>
        <v>0</v>
      </c>
      <c r="J10" s="321"/>
      <c r="K10" s="335"/>
      <c r="L10" s="335"/>
      <c r="M10" s="335" t="s">
        <v>534</v>
      </c>
      <c r="N10" s="335"/>
      <c r="O10" s="335"/>
      <c r="P10" s="335"/>
      <c r="Q10" s="335"/>
      <c r="R10" s="335"/>
      <c r="S10" s="335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335"/>
      <c r="L11" s="335"/>
      <c r="M11" s="335"/>
      <c r="N11" s="335"/>
      <c r="O11" s="335"/>
      <c r="P11" s="335"/>
      <c r="Q11" s="335"/>
      <c r="R11" s="335"/>
      <c r="S11" s="335"/>
      <c r="T11" s="322"/>
      <c r="U11" s="322"/>
      <c r="V11" s="322"/>
    </row>
    <row r="12" spans="2:22" s="116" customFormat="1">
      <c r="B12" s="270" t="s">
        <v>526</v>
      </c>
      <c r="C12" s="117">
        <v>484588</v>
      </c>
      <c r="D12" s="117">
        <v>296988.15999999997</v>
      </c>
      <c r="E12" s="117">
        <f>C12+D12</f>
        <v>781576.15999999992</v>
      </c>
      <c r="F12" s="372">
        <v>781576.16</v>
      </c>
      <c r="G12" s="117">
        <v>781576.16</v>
      </c>
      <c r="H12" s="117">
        <f>E12-F12</f>
        <v>0</v>
      </c>
      <c r="I12" s="118"/>
      <c r="J12" s="322"/>
      <c r="K12" s="335">
        <f>F12*100/$F$10</f>
        <v>12.498168972790165</v>
      </c>
      <c r="L12" s="335"/>
      <c r="M12" s="336">
        <v>13832.99</v>
      </c>
      <c r="N12" s="335"/>
      <c r="O12" s="336">
        <f>F12-M12</f>
        <v>767743.17</v>
      </c>
      <c r="P12" s="335"/>
      <c r="Q12" s="335"/>
      <c r="R12" s="335"/>
      <c r="S12" s="335"/>
      <c r="T12" s="322"/>
      <c r="U12" s="322"/>
      <c r="V12" s="322"/>
    </row>
    <row r="13" spans="2:22" s="116" customFormat="1">
      <c r="B13" s="270" t="s">
        <v>527</v>
      </c>
      <c r="C13" s="117">
        <v>993754</v>
      </c>
      <c r="D13" s="117">
        <v>440279.02</v>
      </c>
      <c r="E13" s="117">
        <f t="shared" ref="E13:E17" si="1">C13+D13</f>
        <v>1434033.02</v>
      </c>
      <c r="F13" s="117">
        <v>1434033.02</v>
      </c>
      <c r="G13" s="117">
        <v>1409648.73</v>
      </c>
      <c r="H13" s="117">
        <f t="shared" ref="H13:H17" si="2">E13-F13</f>
        <v>0</v>
      </c>
      <c r="I13" s="118"/>
      <c r="J13" s="322"/>
      <c r="K13" s="335">
        <f t="shared" ref="K13:K17" si="3">F13*100/$F$10</f>
        <v>22.931593763710215</v>
      </c>
      <c r="L13" s="335"/>
      <c r="M13" s="336">
        <v>17584.63</v>
      </c>
      <c r="N13" s="335"/>
      <c r="O13" s="336">
        <f t="shared" ref="O13:O17" si="4">F13-M13</f>
        <v>1416448.3900000001</v>
      </c>
      <c r="P13" s="335"/>
      <c r="Q13" s="335"/>
      <c r="R13" s="335"/>
      <c r="S13" s="335"/>
      <c r="T13" s="322"/>
      <c r="U13" s="322"/>
      <c r="V13" s="322"/>
    </row>
    <row r="14" spans="2:22" s="116" customFormat="1">
      <c r="B14" s="270" t="s">
        <v>528</v>
      </c>
      <c r="C14" s="117">
        <v>7467056</v>
      </c>
      <c r="D14" s="117">
        <v>-4571502.0999999996</v>
      </c>
      <c r="E14" s="117">
        <f t="shared" si="1"/>
        <v>2895553.9000000004</v>
      </c>
      <c r="F14" s="117">
        <v>2895553.9</v>
      </c>
      <c r="G14" s="117">
        <v>2895553.9</v>
      </c>
      <c r="H14" s="117">
        <f t="shared" si="2"/>
        <v>0</v>
      </c>
      <c r="I14" s="118"/>
      <c r="J14" s="322"/>
      <c r="K14" s="335">
        <f t="shared" si="3"/>
        <v>46.302745355003601</v>
      </c>
      <c r="L14" s="335"/>
      <c r="M14" s="336">
        <v>144064.66</v>
      </c>
      <c r="N14" s="335"/>
      <c r="O14" s="336">
        <f t="shared" si="4"/>
        <v>2751489.2399999998</v>
      </c>
      <c r="P14" s="335"/>
      <c r="Q14" s="335"/>
      <c r="R14" s="335"/>
      <c r="S14" s="335"/>
      <c r="T14" s="322"/>
      <c r="U14" s="322"/>
      <c r="V14" s="322"/>
    </row>
    <row r="15" spans="2:22" s="116" customFormat="1">
      <c r="B15" s="270" t="s">
        <v>529</v>
      </c>
      <c r="C15" s="117">
        <v>82920</v>
      </c>
      <c r="D15" s="117">
        <v>179665.73</v>
      </c>
      <c r="E15" s="117">
        <f t="shared" si="1"/>
        <v>262585.73</v>
      </c>
      <c r="F15" s="117">
        <v>262585.73</v>
      </c>
      <c r="G15" s="117">
        <v>262585.73</v>
      </c>
      <c r="H15" s="117">
        <f t="shared" si="2"/>
        <v>0</v>
      </c>
      <c r="I15" s="118"/>
      <c r="J15" s="322"/>
      <c r="K15" s="335">
        <f t="shared" si="3"/>
        <v>4.1990032339055166</v>
      </c>
      <c r="L15" s="335"/>
      <c r="M15" s="336">
        <v>4971.8599999999997</v>
      </c>
      <c r="N15" s="335"/>
      <c r="O15" s="336">
        <f t="shared" si="4"/>
        <v>257613.87</v>
      </c>
      <c r="P15" s="335"/>
      <c r="Q15" s="335"/>
      <c r="R15" s="335"/>
      <c r="S15" s="335"/>
      <c r="T15" s="322"/>
      <c r="U15" s="322"/>
      <c r="V15" s="322"/>
    </row>
    <row r="16" spans="2:22" s="119" customFormat="1">
      <c r="B16" s="270" t="s">
        <v>531</v>
      </c>
      <c r="C16" s="117">
        <v>811824</v>
      </c>
      <c r="D16" s="117">
        <v>-281162.17</v>
      </c>
      <c r="E16" s="117">
        <f t="shared" si="1"/>
        <v>530661.83000000007</v>
      </c>
      <c r="F16" s="117">
        <v>530661.82999999996</v>
      </c>
      <c r="G16" s="117">
        <v>530661.82999999996</v>
      </c>
      <c r="H16" s="117">
        <f t="shared" si="2"/>
        <v>0</v>
      </c>
      <c r="J16" s="323"/>
      <c r="K16" s="335">
        <f t="shared" si="3"/>
        <v>8.4858028662875906</v>
      </c>
      <c r="L16" s="337"/>
      <c r="M16" s="336">
        <v>11448.32</v>
      </c>
      <c r="N16" s="337"/>
      <c r="O16" s="336">
        <f t="shared" si="4"/>
        <v>519213.50999999995</v>
      </c>
      <c r="P16" s="337"/>
      <c r="Q16" s="337"/>
      <c r="R16" s="337"/>
      <c r="S16" s="337"/>
      <c r="T16" s="323"/>
      <c r="U16" s="323"/>
      <c r="V16" s="323"/>
    </row>
    <row r="17" spans="2:19" s="119" customFormat="1">
      <c r="B17" s="270" t="s">
        <v>530</v>
      </c>
      <c r="C17" s="117">
        <v>283470</v>
      </c>
      <c r="D17" s="117">
        <v>65644.67</v>
      </c>
      <c r="E17" s="117">
        <f t="shared" si="1"/>
        <v>349114.67</v>
      </c>
      <c r="F17" s="117">
        <v>349114.67</v>
      </c>
      <c r="G17" s="117">
        <v>349114.67</v>
      </c>
      <c r="H17" s="117">
        <f t="shared" si="2"/>
        <v>0</v>
      </c>
      <c r="K17" s="335">
        <f t="shared" si="3"/>
        <v>5.5826858083029007</v>
      </c>
      <c r="L17" s="338"/>
      <c r="M17" s="336">
        <v>9681.73</v>
      </c>
      <c r="N17" s="338"/>
      <c r="O17" s="336">
        <f t="shared" si="4"/>
        <v>339432.94</v>
      </c>
      <c r="P17" s="338"/>
      <c r="Q17" s="338"/>
      <c r="R17" s="338"/>
      <c r="S17" s="338"/>
    </row>
    <row r="18" spans="2:19" s="119" customFormat="1">
      <c r="B18" s="189"/>
      <c r="C18" s="117"/>
      <c r="D18" s="117">
        <v>0</v>
      </c>
      <c r="E18" s="117"/>
      <c r="F18" s="117"/>
      <c r="G18" s="117"/>
      <c r="H18" s="117"/>
      <c r="K18" s="338">
        <f>SUM(K12:K17)</f>
        <v>99.999999999999972</v>
      </c>
      <c r="L18" s="338"/>
      <c r="M18" s="339"/>
      <c r="N18" s="338"/>
      <c r="O18" s="338"/>
      <c r="P18" s="338"/>
      <c r="Q18" s="338"/>
      <c r="R18" s="338"/>
      <c r="S18" s="338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2:19" s="119" customFormat="1">
      <c r="B20" s="120"/>
      <c r="C20" s="324"/>
      <c r="D20" s="324"/>
      <c r="E20" s="324"/>
      <c r="F20" s="324"/>
      <c r="G20" s="324"/>
      <c r="H20" s="324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2:19" s="124" customFormat="1">
      <c r="B21" s="121" t="s">
        <v>472</v>
      </c>
      <c r="C21" s="122">
        <f>SUM(C22:C27)</f>
        <v>9283612</v>
      </c>
      <c r="D21" s="122">
        <f>SUM(D22:D27)</f>
        <v>1446866.93</v>
      </c>
      <c r="E21" s="122">
        <f>SUM(E22:E27)</f>
        <v>10730478.930000002</v>
      </c>
      <c r="F21" s="122">
        <f>SUM(F22:F27)</f>
        <v>10730478.930000002</v>
      </c>
      <c r="G21" s="122">
        <f>SUM(G22:G27)</f>
        <v>10691208.410000002</v>
      </c>
      <c r="H21" s="122">
        <f t="shared" ref="H21:H27" si="5">E21-F21</f>
        <v>0</v>
      </c>
      <c r="I21" s="123"/>
      <c r="K21" s="340"/>
      <c r="L21" s="340"/>
      <c r="M21" s="340" t="s">
        <v>535</v>
      </c>
      <c r="N21" s="340"/>
      <c r="O21" s="340"/>
      <c r="P21" s="340"/>
      <c r="Q21" s="340" t="s">
        <v>536</v>
      </c>
      <c r="R21" s="340"/>
      <c r="S21" s="340"/>
    </row>
    <row r="22" spans="2:19" s="126" customFormat="1">
      <c r="B22" s="270" t="s">
        <v>526</v>
      </c>
      <c r="C22" s="125">
        <v>88540</v>
      </c>
      <c r="D22" s="125">
        <v>1043327.53</v>
      </c>
      <c r="E22" s="125">
        <f>C22+D22</f>
        <v>1131867.53</v>
      </c>
      <c r="F22" s="125">
        <v>1131867.53</v>
      </c>
      <c r="G22" s="125">
        <v>1126902.01</v>
      </c>
      <c r="H22" s="125">
        <f t="shared" si="5"/>
        <v>0</v>
      </c>
      <c r="I22" s="118"/>
      <c r="K22" s="341">
        <f>F22*100/$F$21</f>
        <v>10.548154815676991</v>
      </c>
      <c r="L22" s="341"/>
      <c r="M22" s="341">
        <v>16252.18</v>
      </c>
      <c r="N22" s="341"/>
      <c r="O22" s="342">
        <f>O12-M22</f>
        <v>751490.99</v>
      </c>
      <c r="P22" s="341"/>
      <c r="Q22" s="341">
        <v>173.83</v>
      </c>
      <c r="R22" s="341"/>
      <c r="S22" s="342">
        <f>O22-Q22</f>
        <v>751317.16</v>
      </c>
    </row>
    <row r="23" spans="2:19" s="126" customFormat="1">
      <c r="B23" s="270" t="s">
        <v>527</v>
      </c>
      <c r="C23" s="125">
        <v>3224377</v>
      </c>
      <c r="D23" s="125">
        <v>-953016.89</v>
      </c>
      <c r="E23" s="125">
        <f t="shared" ref="E23:E27" si="6">C23+D23</f>
        <v>2271360.11</v>
      </c>
      <c r="F23" s="125">
        <v>2271360.11</v>
      </c>
      <c r="G23" s="125">
        <v>2260139.11</v>
      </c>
      <c r="H23" s="125">
        <f t="shared" si="5"/>
        <v>0</v>
      </c>
      <c r="I23" s="118"/>
      <c r="K23" s="341">
        <f t="shared" ref="K23:K27" si="7">F23*100/$F$21</f>
        <v>21.167369367361495</v>
      </c>
      <c r="L23" s="341"/>
      <c r="M23" s="341">
        <v>16252.18</v>
      </c>
      <c r="N23" s="341"/>
      <c r="O23" s="342">
        <f t="shared" ref="O23:O28" si="8">O13-M23</f>
        <v>1400196.2100000002</v>
      </c>
      <c r="P23" s="341"/>
      <c r="Q23" s="341">
        <v>173.83</v>
      </c>
      <c r="R23" s="341"/>
      <c r="S23" s="342">
        <f t="shared" ref="S23:S27" si="9">O23-Q23</f>
        <v>1400022.3800000001</v>
      </c>
    </row>
    <row r="24" spans="2:19" s="126" customFormat="1">
      <c r="B24" s="270" t="s">
        <v>528</v>
      </c>
      <c r="C24" s="125">
        <v>5426821</v>
      </c>
      <c r="D24" s="125">
        <v>158298.84</v>
      </c>
      <c r="E24" s="125">
        <f t="shared" si="6"/>
        <v>5585119.8399999999</v>
      </c>
      <c r="F24" s="125">
        <v>5585119.8399999999</v>
      </c>
      <c r="G24" s="125">
        <v>5585119.8399999999</v>
      </c>
      <c r="H24" s="125">
        <f t="shared" si="5"/>
        <v>0</v>
      </c>
      <c r="K24" s="341">
        <f t="shared" si="7"/>
        <v>52.049119861605277</v>
      </c>
      <c r="L24" s="341"/>
      <c r="M24" s="341">
        <v>16252.18</v>
      </c>
      <c r="N24" s="341"/>
      <c r="O24" s="342">
        <f t="shared" si="8"/>
        <v>2735237.0599999996</v>
      </c>
      <c r="P24" s="341"/>
      <c r="Q24" s="341">
        <v>173.83</v>
      </c>
      <c r="R24" s="341"/>
      <c r="S24" s="342">
        <f t="shared" si="9"/>
        <v>2735063.2299999995</v>
      </c>
    </row>
    <row r="25" spans="2:19" s="126" customFormat="1">
      <c r="B25" s="270" t="s">
        <v>529</v>
      </c>
      <c r="C25" s="125">
        <v>63483</v>
      </c>
      <c r="D25" s="125">
        <v>418166.64</v>
      </c>
      <c r="E25" s="125">
        <f t="shared" si="6"/>
        <v>481649.64</v>
      </c>
      <c r="F25" s="125">
        <v>481649.64</v>
      </c>
      <c r="G25" s="125">
        <v>481649.64</v>
      </c>
      <c r="H25" s="125">
        <f t="shared" si="5"/>
        <v>0</v>
      </c>
      <c r="K25" s="341">
        <f t="shared" si="7"/>
        <v>4.488612699787482</v>
      </c>
      <c r="L25" s="341"/>
      <c r="M25" s="341">
        <v>16252.18</v>
      </c>
      <c r="N25" s="341"/>
      <c r="O25" s="342">
        <f t="shared" si="8"/>
        <v>241361.69</v>
      </c>
      <c r="P25" s="341"/>
      <c r="Q25" s="341">
        <v>173.83</v>
      </c>
      <c r="R25" s="341"/>
      <c r="S25" s="342">
        <f t="shared" si="9"/>
        <v>241187.86000000002</v>
      </c>
    </row>
    <row r="26" spans="2:19" s="126" customFormat="1">
      <c r="B26" s="270" t="s">
        <v>531</v>
      </c>
      <c r="C26" s="125">
        <v>390377</v>
      </c>
      <c r="D26" s="125">
        <v>404870.32</v>
      </c>
      <c r="E26" s="125">
        <f t="shared" si="6"/>
        <v>795247.32000000007</v>
      </c>
      <c r="F26" s="125">
        <v>795247.32</v>
      </c>
      <c r="G26" s="125">
        <v>772163.32</v>
      </c>
      <c r="H26" s="125">
        <f t="shared" si="5"/>
        <v>0</v>
      </c>
      <c r="K26" s="341">
        <f t="shared" si="7"/>
        <v>7.4111074182967513</v>
      </c>
      <c r="L26" s="341"/>
      <c r="M26" s="341">
        <v>16252.18</v>
      </c>
      <c r="N26" s="341"/>
      <c r="O26" s="342">
        <f t="shared" si="8"/>
        <v>502961.32999999996</v>
      </c>
      <c r="P26" s="341"/>
      <c r="Q26" s="341">
        <v>173.84</v>
      </c>
      <c r="R26" s="341"/>
      <c r="S26" s="342">
        <f t="shared" si="9"/>
        <v>502787.48999999993</v>
      </c>
    </row>
    <row r="27" spans="2:19" s="126" customFormat="1">
      <c r="B27" s="270" t="s">
        <v>530</v>
      </c>
      <c r="C27" s="125">
        <v>90014</v>
      </c>
      <c r="D27" s="125">
        <v>375220.49</v>
      </c>
      <c r="E27" s="125">
        <f t="shared" si="6"/>
        <v>465234.49</v>
      </c>
      <c r="F27" s="125">
        <v>465234.49</v>
      </c>
      <c r="G27" s="125">
        <v>465234.49</v>
      </c>
      <c r="H27" s="125">
        <f t="shared" si="5"/>
        <v>0</v>
      </c>
      <c r="K27" s="341">
        <f t="shared" si="7"/>
        <v>4.3356358372719894</v>
      </c>
      <c r="L27" s="341"/>
      <c r="M27" s="341">
        <v>16252.18</v>
      </c>
      <c r="N27" s="341"/>
      <c r="O27" s="342">
        <f t="shared" si="8"/>
        <v>323180.76</v>
      </c>
      <c r="P27" s="341"/>
      <c r="Q27" s="341">
        <v>173.84</v>
      </c>
      <c r="R27" s="341"/>
      <c r="S27" s="342">
        <f t="shared" si="9"/>
        <v>323006.92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341">
        <f t="shared" ref="K28" si="10">F28*100/$F$21</f>
        <v>90.478937457826945</v>
      </c>
      <c r="L28" s="341"/>
      <c r="M28" s="341"/>
      <c r="N28" s="341"/>
      <c r="O28" s="342">
        <f t="shared" si="8"/>
        <v>0</v>
      </c>
      <c r="P28" s="341"/>
      <c r="Q28" s="341"/>
      <c r="R28" s="341"/>
      <c r="S28" s="341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341"/>
      <c r="L29" s="341"/>
      <c r="M29" s="341">
        <f>SUM(M22:M28)</f>
        <v>97513.079999999987</v>
      </c>
      <c r="N29" s="341"/>
      <c r="O29" s="342"/>
      <c r="P29" s="341"/>
      <c r="Q29" s="341">
        <f>SUM(Q22:Q28)</f>
        <v>1043</v>
      </c>
      <c r="R29" s="341"/>
      <c r="S29" s="341"/>
    </row>
    <row r="30" spans="2:19" ht="15.75" thickBot="1">
      <c r="B30" s="127" t="s">
        <v>473</v>
      </c>
      <c r="C30" s="128">
        <f>C10+C21</f>
        <v>19407224</v>
      </c>
      <c r="D30" s="128">
        <f t="shared" ref="D30:F30" si="11">D10+D21</f>
        <v>-2423219.7599999998</v>
      </c>
      <c r="E30" s="128">
        <f t="shared" si="11"/>
        <v>16984004.240000002</v>
      </c>
      <c r="F30" s="128">
        <f t="shared" si="11"/>
        <v>16984004.240000002</v>
      </c>
      <c r="G30" s="128">
        <f>G10+G21</f>
        <v>16920349.43</v>
      </c>
      <c r="H30" s="128">
        <f>H10+H21</f>
        <v>0</v>
      </c>
      <c r="K30" s="271">
        <f>SUM(K22:K27)</f>
        <v>99.999999999999986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0">
        <f>C10+C21</f>
        <v>19407224</v>
      </c>
      <c r="D35" s="330">
        <f t="shared" ref="D35:H35" si="12">D10+D21</f>
        <v>-2423219.7599999998</v>
      </c>
      <c r="E35" s="330">
        <f t="shared" si="12"/>
        <v>16984004.240000002</v>
      </c>
      <c r="F35" s="330">
        <f t="shared" si="12"/>
        <v>16984004.240000002</v>
      </c>
      <c r="G35" s="330">
        <f t="shared" si="12"/>
        <v>16920349.43</v>
      </c>
      <c r="H35" s="330">
        <f t="shared" si="12"/>
        <v>0</v>
      </c>
    </row>
    <row r="36" spans="3:9" hidden="1">
      <c r="C36" s="271"/>
      <c r="D36" s="271"/>
      <c r="E36" s="271"/>
      <c r="F36" s="271"/>
    </row>
    <row r="37" spans="3:9" hidden="1">
      <c r="C37" s="330">
        <f>C33-C35</f>
        <v>-185962</v>
      </c>
      <c r="D37" s="330">
        <f t="shared" ref="D37:H37" si="13">D33-D35</f>
        <v>-662814.68000000017</v>
      </c>
      <c r="E37" s="330">
        <f t="shared" si="13"/>
        <v>-848776.68000000343</v>
      </c>
      <c r="F37" s="330">
        <f t="shared" si="13"/>
        <v>-1128646.6300000027</v>
      </c>
      <c r="G37" s="330">
        <f t="shared" si="13"/>
        <v>-1345192.9299999997</v>
      </c>
      <c r="H37" s="330">
        <f t="shared" si="13"/>
        <v>279869.95</v>
      </c>
    </row>
    <row r="38" spans="3:9" hidden="1">
      <c r="C38" s="272">
        <f>C37-C10</f>
        <v>-10309574</v>
      </c>
      <c r="D38" s="273">
        <f>C38/6</f>
        <v>-1718262.3333333333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19407224</v>
      </c>
      <c r="D42" s="272">
        <v>1759873.9100000001</v>
      </c>
      <c r="E42" s="272">
        <v>21167097.91</v>
      </c>
      <c r="F42" s="272">
        <v>9620400.7199999988</v>
      </c>
      <c r="G42" s="272">
        <v>9544959.4800000004</v>
      </c>
      <c r="H42" s="272">
        <v>11546697.189999999</v>
      </c>
      <c r="I42" s="130"/>
    </row>
    <row r="43" spans="3:9">
      <c r="C43" s="272"/>
      <c r="D43" s="272"/>
      <c r="E43" s="272">
        <f>G12+G22</f>
        <v>1908478.17</v>
      </c>
      <c r="F43" s="272"/>
      <c r="G43" s="272">
        <f>F30-G30</f>
        <v>63654.810000002384</v>
      </c>
      <c r="H43" s="272"/>
      <c r="I43" s="130"/>
    </row>
    <row r="44" spans="3:9">
      <c r="C44" s="272">
        <f>C42-C30</f>
        <v>0</v>
      </c>
      <c r="D44" s="272">
        <f t="shared" ref="D44:H44" si="14">D42-D30</f>
        <v>4183093.67</v>
      </c>
      <c r="E44" s="272">
        <f t="shared" si="14"/>
        <v>4183093.6699999981</v>
      </c>
      <c r="F44" s="272">
        <f t="shared" si="14"/>
        <v>-7363603.5200000033</v>
      </c>
      <c r="G44" s="272">
        <f t="shared" si="14"/>
        <v>-7375389.9499999993</v>
      </c>
      <c r="H44" s="272">
        <f t="shared" si="14"/>
        <v>11546697.189999999</v>
      </c>
      <c r="I44" s="130"/>
    </row>
    <row r="45" spans="3:9">
      <c r="E45" s="272">
        <f t="shared" ref="E45:E48" si="15">G14+G24</f>
        <v>8480673.7400000002</v>
      </c>
      <c r="F45" s="271"/>
      <c r="G45" s="273">
        <v>201584.19</v>
      </c>
    </row>
    <row r="46" spans="3:9">
      <c r="E46" s="272">
        <f t="shared" si="15"/>
        <v>744235.37</v>
      </c>
      <c r="F46" s="271"/>
      <c r="G46" s="273">
        <v>97513.08</v>
      </c>
    </row>
    <row r="47" spans="3:9">
      <c r="E47" s="272">
        <f t="shared" si="15"/>
        <v>1302825.1499999999</v>
      </c>
      <c r="F47" s="271"/>
      <c r="G47" s="273">
        <v>1043</v>
      </c>
    </row>
    <row r="48" spans="3:9">
      <c r="E48" s="272">
        <f t="shared" si="15"/>
        <v>814349.15999999992</v>
      </c>
      <c r="F48" s="271"/>
      <c r="G48" s="343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28" workbookViewId="0">
      <selection activeCell="H60" sqref="H60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1:9" ht="13.5" thickBot="1"/>
    <row r="2" spans="1:9" s="154" customFormat="1" ht="15">
      <c r="B2" s="491" t="s">
        <v>525</v>
      </c>
      <c r="C2" s="492"/>
      <c r="D2" s="492"/>
      <c r="E2" s="492"/>
      <c r="F2" s="492"/>
      <c r="G2" s="492"/>
      <c r="H2" s="492"/>
      <c r="I2" s="493"/>
    </row>
    <row r="3" spans="1:9" s="154" customFormat="1" ht="15">
      <c r="B3" s="494" t="s">
        <v>366</v>
      </c>
      <c r="C3" s="495"/>
      <c r="D3" s="495"/>
      <c r="E3" s="495"/>
      <c r="F3" s="495"/>
      <c r="G3" s="495"/>
      <c r="H3" s="495"/>
      <c r="I3" s="496"/>
    </row>
    <row r="4" spans="1:9" s="154" customFormat="1" ht="15">
      <c r="B4" s="494" t="s">
        <v>474</v>
      </c>
      <c r="C4" s="495"/>
      <c r="D4" s="495"/>
      <c r="E4" s="495"/>
      <c r="F4" s="495"/>
      <c r="G4" s="495"/>
      <c r="H4" s="495"/>
      <c r="I4" s="496"/>
    </row>
    <row r="5" spans="1:9" s="154" customFormat="1" ht="15">
      <c r="B5" s="494" t="s">
        <v>538</v>
      </c>
      <c r="C5" s="495"/>
      <c r="D5" s="495"/>
      <c r="E5" s="495"/>
      <c r="F5" s="495"/>
      <c r="G5" s="495"/>
      <c r="H5" s="495"/>
      <c r="I5" s="496"/>
    </row>
    <row r="6" spans="1:9" s="154" customFormat="1" ht="15.75" thickBot="1">
      <c r="B6" s="497" t="s">
        <v>4</v>
      </c>
      <c r="C6" s="498"/>
      <c r="D6" s="498"/>
      <c r="E6" s="498"/>
      <c r="F6" s="498"/>
      <c r="G6" s="498"/>
      <c r="H6" s="498"/>
      <c r="I6" s="499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91" t="s">
        <v>128</v>
      </c>
      <c r="C8" s="500"/>
      <c r="D8" s="502" t="s">
        <v>456</v>
      </c>
      <c r="E8" s="503"/>
      <c r="F8" s="503"/>
      <c r="G8" s="503"/>
      <c r="H8" s="504"/>
      <c r="I8" s="505" t="s">
        <v>149</v>
      </c>
    </row>
    <row r="9" spans="1:9" s="154" customFormat="1" ht="30.75" thickBot="1">
      <c r="B9" s="497"/>
      <c r="C9" s="501"/>
      <c r="D9" s="185" t="s">
        <v>475</v>
      </c>
      <c r="E9" s="185" t="s">
        <v>476</v>
      </c>
      <c r="F9" s="185" t="s">
        <v>477</v>
      </c>
      <c r="G9" s="185" t="s">
        <v>153</v>
      </c>
      <c r="H9" s="185" t="s">
        <v>154</v>
      </c>
      <c r="I9" s="506"/>
    </row>
    <row r="10" spans="1:9" ht="7.9" customHeight="1">
      <c r="B10" s="489"/>
      <c r="C10" s="490"/>
      <c r="D10" s="132"/>
      <c r="E10" s="132"/>
      <c r="F10" s="132"/>
      <c r="G10" s="132"/>
      <c r="H10" s="132"/>
      <c r="I10" s="132"/>
    </row>
    <row r="11" spans="1:9" ht="14.45" customHeight="1">
      <c r="B11" s="133" t="s">
        <v>478</v>
      </c>
      <c r="C11" s="134"/>
      <c r="D11" s="282">
        <f>D12+D21+D29+D39</f>
        <v>10123612</v>
      </c>
      <c r="E11" s="282">
        <f t="shared" ref="E11:H11" si="0">E12+E21+E29+E39</f>
        <v>-3870086.69</v>
      </c>
      <c r="F11" s="282">
        <f t="shared" si="0"/>
        <v>6253525.3100000005</v>
      </c>
      <c r="G11" s="282">
        <f t="shared" si="0"/>
        <v>6253525.3100000005</v>
      </c>
      <c r="H11" s="282">
        <f t="shared" si="0"/>
        <v>6229141.0200000005</v>
      </c>
      <c r="I11" s="310">
        <f>F11-G11</f>
        <v>0</v>
      </c>
    </row>
    <row r="12" spans="1:9" ht="15">
      <c r="B12" s="133" t="s">
        <v>479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480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481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482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483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484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485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486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487</v>
      </c>
      <c r="D20" s="275"/>
      <c r="E20" s="276"/>
      <c r="F20" s="276"/>
      <c r="G20" s="276"/>
      <c r="H20" s="276"/>
      <c r="I20" s="139"/>
    </row>
    <row r="21" spans="2:9" ht="15">
      <c r="B21" s="133" t="s">
        <v>488</v>
      </c>
      <c r="C21" s="134"/>
      <c r="D21" s="309">
        <f>SUM(D22:D28)</f>
        <v>10123612</v>
      </c>
      <c r="E21" s="309">
        <f t="shared" ref="E21:H21" si="2">SUM(E22:E28)</f>
        <v>-3870086.69</v>
      </c>
      <c r="F21" s="309">
        <f t="shared" si="2"/>
        <v>6253525.3100000005</v>
      </c>
      <c r="G21" s="309">
        <f t="shared" si="2"/>
        <v>6253525.3100000005</v>
      </c>
      <c r="H21" s="309">
        <f t="shared" si="2"/>
        <v>6229141.0200000005</v>
      </c>
      <c r="I21" s="309">
        <f>F21-G21</f>
        <v>0</v>
      </c>
    </row>
    <row r="22" spans="2:9" ht="15">
      <c r="B22" s="137"/>
      <c r="C22" s="138" t="s">
        <v>489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490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491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492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493</v>
      </c>
      <c r="D26" s="311">
        <f>'F6a. EAEPE OG'!D10</f>
        <v>10123612</v>
      </c>
      <c r="E26" s="308">
        <f>'F6a. EAEPE OG'!E10</f>
        <v>-3870086.69</v>
      </c>
      <c r="F26" s="308">
        <f>'F6a. EAEPE OG'!F10</f>
        <v>6253525.3100000005</v>
      </c>
      <c r="G26" s="308">
        <f>'F6a. EAEPE OG'!G10</f>
        <v>6253525.3100000005</v>
      </c>
      <c r="H26" s="308">
        <f>'F6a. EAEPE OG'!H10</f>
        <v>6229141.0200000005</v>
      </c>
      <c r="I26" s="308">
        <f>F26-G26</f>
        <v>0</v>
      </c>
    </row>
    <row r="27" spans="2:9" ht="15">
      <c r="B27" s="137"/>
      <c r="C27" s="138" t="s">
        <v>494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495</v>
      </c>
      <c r="D28" s="275"/>
      <c r="E28" s="276"/>
      <c r="F28" s="276"/>
      <c r="G28" s="276"/>
      <c r="H28" s="276"/>
      <c r="I28" s="139"/>
    </row>
    <row r="29" spans="2:9" ht="15">
      <c r="B29" s="141" t="s">
        <v>496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497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498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499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500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501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502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503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504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505</v>
      </c>
      <c r="D38" s="275"/>
      <c r="E38" s="276"/>
      <c r="F38" s="276"/>
      <c r="G38" s="276"/>
      <c r="H38" s="276"/>
      <c r="I38" s="139"/>
    </row>
    <row r="39" spans="2:9" ht="15">
      <c r="B39" s="141" t="s">
        <v>506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507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508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509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510</v>
      </c>
      <c r="D43" s="275"/>
      <c r="E43" s="276"/>
      <c r="F43" s="276"/>
      <c r="G43" s="276"/>
      <c r="H43" s="276"/>
      <c r="I43" s="139"/>
    </row>
    <row r="44" spans="2:9" ht="15">
      <c r="B44" s="133" t="s">
        <v>511</v>
      </c>
      <c r="C44" s="134"/>
      <c r="D44" s="282">
        <f>D45+D54+D62+D72</f>
        <v>9283612</v>
      </c>
      <c r="E44" s="282">
        <f t="shared" ref="E44:H44" si="5">E45+E54+E62+E72</f>
        <v>1446866.9300000002</v>
      </c>
      <c r="F44" s="282">
        <f t="shared" si="5"/>
        <v>10730478.930000003</v>
      </c>
      <c r="G44" s="282">
        <f t="shared" si="5"/>
        <v>10730478.930000002</v>
      </c>
      <c r="H44" s="282">
        <f t="shared" si="5"/>
        <v>10691208.41</v>
      </c>
      <c r="I44" s="282">
        <f>F44-G44</f>
        <v>0</v>
      </c>
    </row>
    <row r="45" spans="2:9" ht="15">
      <c r="B45" s="145" t="s">
        <v>479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480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481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482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483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484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485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486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487</v>
      </c>
      <c r="D53" s="275"/>
      <c r="E53" s="276"/>
      <c r="F53" s="276"/>
      <c r="G53" s="276"/>
      <c r="H53" s="276"/>
      <c r="I53" s="139"/>
    </row>
    <row r="54" spans="2:9" ht="15">
      <c r="B54" s="133" t="s">
        <v>488</v>
      </c>
      <c r="C54" s="134"/>
      <c r="D54" s="309">
        <f>SUM(D55:D61)</f>
        <v>9283612</v>
      </c>
      <c r="E54" s="312">
        <f t="shared" ref="E54:H54" si="6">SUM(E55:E61)</f>
        <v>1446866.9300000002</v>
      </c>
      <c r="F54" s="312">
        <f t="shared" si="6"/>
        <v>10730478.930000003</v>
      </c>
      <c r="G54" s="312">
        <f t="shared" si="6"/>
        <v>10730478.930000002</v>
      </c>
      <c r="H54" s="312">
        <f t="shared" si="6"/>
        <v>10691208.41</v>
      </c>
      <c r="I54" s="312">
        <f>F54-G54</f>
        <v>0</v>
      </c>
    </row>
    <row r="55" spans="2:9" ht="15">
      <c r="B55" s="137"/>
      <c r="C55" s="361" t="s">
        <v>489</v>
      </c>
      <c r="D55" s="275"/>
      <c r="E55" s="277"/>
      <c r="F55" s="277"/>
      <c r="G55" s="277"/>
      <c r="H55" s="277"/>
      <c r="I55" s="140"/>
    </row>
    <row r="56" spans="2:9" ht="15">
      <c r="B56" s="137"/>
      <c r="C56" s="361" t="s">
        <v>490</v>
      </c>
      <c r="D56" s="275"/>
      <c r="E56" s="277"/>
      <c r="F56" s="277"/>
      <c r="G56" s="277"/>
      <c r="H56" s="277"/>
      <c r="I56" s="140"/>
    </row>
    <row r="57" spans="2:9" ht="15">
      <c r="B57" s="137"/>
      <c r="C57" s="361" t="s">
        <v>491</v>
      </c>
      <c r="D57" s="275"/>
      <c r="E57" s="277"/>
      <c r="F57" s="277"/>
      <c r="G57" s="277"/>
      <c r="H57" s="277"/>
      <c r="I57" s="140"/>
    </row>
    <row r="58" spans="2:9" ht="15">
      <c r="B58" s="137"/>
      <c r="C58" s="361" t="s">
        <v>492</v>
      </c>
      <c r="D58" s="275"/>
      <c r="E58" s="277"/>
      <c r="F58" s="277"/>
      <c r="G58" s="277"/>
      <c r="H58" s="277"/>
      <c r="I58" s="140"/>
    </row>
    <row r="59" spans="2:9" ht="15">
      <c r="B59" s="137"/>
      <c r="C59" s="361" t="s">
        <v>493</v>
      </c>
      <c r="D59" s="311">
        <f>'F6a. EAEPE OG'!D83</f>
        <v>9283612</v>
      </c>
      <c r="E59" s="313">
        <f>'F6a. EAEPE OG'!E83</f>
        <v>1446866.9300000002</v>
      </c>
      <c r="F59" s="313">
        <f>'F6a. EAEPE OG'!F83</f>
        <v>10730478.930000003</v>
      </c>
      <c r="G59" s="313">
        <f>'F6a. EAEPE OG'!G83</f>
        <v>10730478.930000002</v>
      </c>
      <c r="H59" s="313">
        <f>'F6a. EAEPE OG'!H83</f>
        <v>10691208.41</v>
      </c>
      <c r="I59" s="313">
        <f>F59-G59</f>
        <v>0</v>
      </c>
    </row>
    <row r="60" spans="2:9" ht="15">
      <c r="B60" s="137"/>
      <c r="C60" s="361" t="s">
        <v>494</v>
      </c>
      <c r="D60" s="275"/>
      <c r="E60" s="277"/>
      <c r="F60" s="277"/>
      <c r="G60" s="277"/>
      <c r="H60" s="277"/>
      <c r="I60" s="140"/>
    </row>
    <row r="61" spans="2:9" ht="15">
      <c r="B61" s="137"/>
      <c r="C61" s="361" t="s">
        <v>495</v>
      </c>
      <c r="D61" s="363"/>
      <c r="E61" s="279"/>
      <c r="F61" s="279"/>
      <c r="G61" s="279"/>
      <c r="H61" s="279"/>
      <c r="I61" s="140"/>
    </row>
    <row r="62" spans="2:9" ht="15">
      <c r="B62" s="141" t="s">
        <v>496</v>
      </c>
      <c r="C62" s="360"/>
      <c r="D62" s="36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361" t="s">
        <v>497</v>
      </c>
      <c r="D63" s="363"/>
      <c r="E63" s="279"/>
      <c r="F63" s="279"/>
      <c r="G63" s="279"/>
      <c r="H63" s="279"/>
      <c r="I63" s="140"/>
    </row>
    <row r="64" spans="2:9" ht="15">
      <c r="B64" s="137"/>
      <c r="C64" s="361" t="s">
        <v>498</v>
      </c>
      <c r="D64" s="363"/>
      <c r="E64" s="279"/>
      <c r="F64" s="279"/>
      <c r="G64" s="279"/>
      <c r="H64" s="279"/>
      <c r="I64" s="140"/>
    </row>
    <row r="65" spans="2:9" ht="15">
      <c r="B65" s="137"/>
      <c r="C65" s="361" t="s">
        <v>499</v>
      </c>
      <c r="D65" s="363"/>
      <c r="E65" s="279"/>
      <c r="F65" s="279"/>
      <c r="G65" s="279"/>
      <c r="H65" s="279"/>
      <c r="I65" s="140"/>
    </row>
    <row r="66" spans="2:9" ht="15">
      <c r="B66" s="137"/>
      <c r="C66" s="361" t="s">
        <v>500</v>
      </c>
      <c r="D66" s="363"/>
      <c r="E66" s="279"/>
      <c r="F66" s="279"/>
      <c r="G66" s="279"/>
      <c r="H66" s="279"/>
      <c r="I66" s="140"/>
    </row>
    <row r="67" spans="2:9" ht="15">
      <c r="B67" s="137"/>
      <c r="C67" s="361" t="s">
        <v>501</v>
      </c>
      <c r="D67" s="363"/>
      <c r="E67" s="279"/>
      <c r="F67" s="279"/>
      <c r="G67" s="279"/>
      <c r="H67" s="279"/>
      <c r="I67" s="140"/>
    </row>
    <row r="68" spans="2:9" ht="15">
      <c r="B68" s="137"/>
      <c r="C68" s="361" t="s">
        <v>502</v>
      </c>
      <c r="D68" s="363"/>
      <c r="E68" s="279"/>
      <c r="F68" s="279"/>
      <c r="G68" s="279"/>
      <c r="H68" s="279"/>
      <c r="I68" s="140"/>
    </row>
    <row r="69" spans="2:9" ht="15">
      <c r="B69" s="137"/>
      <c r="C69" s="361" t="s">
        <v>503</v>
      </c>
      <c r="D69" s="363"/>
      <c r="E69" s="279"/>
      <c r="F69" s="279"/>
      <c r="G69" s="279"/>
      <c r="H69" s="279"/>
      <c r="I69" s="140"/>
    </row>
    <row r="70" spans="2:9" ht="15">
      <c r="B70" s="137"/>
      <c r="C70" s="361" t="s">
        <v>504</v>
      </c>
      <c r="D70" s="363"/>
      <c r="E70" s="279"/>
      <c r="F70" s="279"/>
      <c r="G70" s="279"/>
      <c r="H70" s="279"/>
      <c r="I70" s="140"/>
    </row>
    <row r="71" spans="2:9" ht="15">
      <c r="B71" s="137"/>
      <c r="C71" s="361" t="s">
        <v>505</v>
      </c>
      <c r="D71" s="363"/>
      <c r="E71" s="279"/>
      <c r="F71" s="279"/>
      <c r="G71" s="279"/>
      <c r="H71" s="279"/>
      <c r="I71" s="140"/>
    </row>
    <row r="72" spans="2:9" ht="15">
      <c r="B72" s="141" t="s">
        <v>506</v>
      </c>
      <c r="C72" s="360"/>
      <c r="D72" s="36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361" t="s">
        <v>507</v>
      </c>
      <c r="D73" s="363"/>
      <c r="E73" s="279"/>
      <c r="F73" s="279"/>
      <c r="G73" s="279"/>
      <c r="H73" s="279"/>
      <c r="I73" s="140"/>
    </row>
    <row r="74" spans="2:9" ht="30">
      <c r="B74" s="137"/>
      <c r="C74" s="362" t="s">
        <v>508</v>
      </c>
      <c r="D74" s="363"/>
      <c r="E74" s="365"/>
      <c r="F74" s="279"/>
      <c r="G74" s="279"/>
      <c r="H74" s="279"/>
      <c r="I74" s="140"/>
    </row>
    <row r="75" spans="2:9" ht="15">
      <c r="B75" s="137"/>
      <c r="C75" s="361" t="s">
        <v>509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510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512</v>
      </c>
      <c r="C77" s="148"/>
      <c r="D77" s="281">
        <f>D11+D44</f>
        <v>19407224</v>
      </c>
      <c r="E77" s="281">
        <f t="shared" ref="E77:H77" si="9">E11+E44</f>
        <v>-2423219.7599999998</v>
      </c>
      <c r="F77" s="281">
        <f t="shared" si="9"/>
        <v>16984004.240000002</v>
      </c>
      <c r="G77" s="281">
        <f t="shared" si="9"/>
        <v>16984004.240000002</v>
      </c>
      <c r="H77" s="281">
        <f t="shared" si="9"/>
        <v>16920349.43</v>
      </c>
      <c r="I77" s="314">
        <f>I11+I44</f>
        <v>0</v>
      </c>
    </row>
    <row r="78" spans="2:9">
      <c r="D78" s="77"/>
      <c r="E78" s="77"/>
      <c r="F78" s="77"/>
      <c r="G78" s="77"/>
      <c r="H78" s="77"/>
      <c r="I78" s="77"/>
    </row>
    <row r="79" spans="2:9" s="317" customFormat="1" ht="15">
      <c r="D79" s="272">
        <v>19407224</v>
      </c>
      <c r="E79" s="272">
        <v>1759873.9100000001</v>
      </c>
      <c r="F79" s="272">
        <v>21167097.91</v>
      </c>
      <c r="G79" s="272">
        <v>9620400.7199999988</v>
      </c>
      <c r="H79" s="272">
        <v>9544959.4800000004</v>
      </c>
      <c r="I79" s="272">
        <v>11546697.189999999</v>
      </c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>
        <f>D79-D77</f>
        <v>0</v>
      </c>
      <c r="E81" s="329">
        <f t="shared" ref="E81:I81" si="10">E79-E77</f>
        <v>4183093.67</v>
      </c>
      <c r="F81" s="329">
        <f t="shared" si="10"/>
        <v>4183093.6699999981</v>
      </c>
      <c r="G81" s="329">
        <f t="shared" si="10"/>
        <v>-7363603.5200000033</v>
      </c>
      <c r="H81" s="329">
        <f t="shared" si="10"/>
        <v>-7375389.9499999993</v>
      </c>
      <c r="I81" s="329">
        <f t="shared" si="10"/>
        <v>11546697.189999999</v>
      </c>
    </row>
    <row r="82" spans="4:9" s="317" customFormat="1">
      <c r="D82" s="329"/>
      <c r="E82" s="329">
        <f>E80-E77</f>
        <v>-692814.7799999998</v>
      </c>
      <c r="F82" s="329">
        <f t="shared" ref="F82:I82" si="11">F80-F77</f>
        <v>-878776.78000000119</v>
      </c>
      <c r="G82" s="329">
        <f t="shared" si="11"/>
        <v>-1128646.6300000045</v>
      </c>
      <c r="H82" s="329">
        <f t="shared" si="11"/>
        <v>-1151410.4700000007</v>
      </c>
      <c r="I82" s="329">
        <f t="shared" si="11"/>
        <v>249869.85000000027</v>
      </c>
    </row>
    <row r="83" spans="4:9">
      <c r="D83" s="77"/>
      <c r="E83" s="36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workbookViewId="0">
      <selection activeCell="D29" sqref="D29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510" t="s">
        <v>525</v>
      </c>
      <c r="C2" s="511"/>
      <c r="D2" s="511"/>
      <c r="E2" s="511"/>
      <c r="F2" s="511"/>
      <c r="G2" s="511"/>
      <c r="H2" s="512"/>
    </row>
    <row r="3" spans="2:8" s="159" customFormat="1">
      <c r="B3" s="513" t="s">
        <v>366</v>
      </c>
      <c r="C3" s="514"/>
      <c r="D3" s="514"/>
      <c r="E3" s="514"/>
      <c r="F3" s="514"/>
      <c r="G3" s="514"/>
      <c r="H3" s="515"/>
    </row>
    <row r="4" spans="2:8" s="159" customFormat="1">
      <c r="B4" s="513" t="s">
        <v>455</v>
      </c>
      <c r="C4" s="514"/>
      <c r="D4" s="514"/>
      <c r="E4" s="514"/>
      <c r="F4" s="514"/>
      <c r="G4" s="514"/>
      <c r="H4" s="515"/>
    </row>
    <row r="5" spans="2:8" s="159" customFormat="1">
      <c r="B5" s="513" t="s">
        <v>543</v>
      </c>
      <c r="C5" s="514"/>
      <c r="D5" s="514"/>
      <c r="E5" s="514"/>
      <c r="F5" s="514"/>
      <c r="G5" s="514"/>
      <c r="H5" s="515"/>
    </row>
    <row r="6" spans="2:8" s="159" customFormat="1" ht="13.5" thickBot="1">
      <c r="B6" s="516" t="s">
        <v>4</v>
      </c>
      <c r="C6" s="517"/>
      <c r="D6" s="517"/>
      <c r="E6" s="517"/>
      <c r="F6" s="517"/>
      <c r="G6" s="517"/>
      <c r="H6" s="518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507" t="s">
        <v>128</v>
      </c>
      <c r="C8" s="509" t="s">
        <v>456</v>
      </c>
      <c r="D8" s="509"/>
      <c r="E8" s="509"/>
      <c r="F8" s="509"/>
      <c r="G8" s="509"/>
      <c r="H8" s="509" t="s">
        <v>149</v>
      </c>
    </row>
    <row r="9" spans="2:8" s="159" customFormat="1" ht="26.25" thickBot="1">
      <c r="B9" s="508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509"/>
    </row>
    <row r="10" spans="2:8">
      <c r="B10" s="101" t="s">
        <v>457</v>
      </c>
      <c r="C10" s="102">
        <f>C11+C12+C13+C16+C17+C20</f>
        <v>10123612</v>
      </c>
      <c r="D10" s="102">
        <f t="shared" ref="D10:G10" si="0">D11+D12+D13+D16+D17+D20</f>
        <v>-3870086.69</v>
      </c>
      <c r="E10" s="102">
        <f t="shared" si="0"/>
        <v>6253525.3100000005</v>
      </c>
      <c r="F10" s="102">
        <f t="shared" si="0"/>
        <v>6253525.3100000005</v>
      </c>
      <c r="G10" s="102">
        <f t="shared" si="0"/>
        <v>6229141.0199999996</v>
      </c>
      <c r="H10" s="102">
        <f>E10-F10</f>
        <v>0</v>
      </c>
    </row>
    <row r="11" spans="2:8">
      <c r="B11" s="103" t="s">
        <v>458</v>
      </c>
      <c r="C11" s="104">
        <f>'F6b. EAEPE ADMVA'!C10</f>
        <v>10123612</v>
      </c>
      <c r="D11" s="104">
        <f>'F6b. EAEPE ADMVA'!D10</f>
        <v>-3870086.69</v>
      </c>
      <c r="E11" s="104">
        <f>C11+D11</f>
        <v>6253525.3100000005</v>
      </c>
      <c r="F11" s="104">
        <f>'F6b. EAEPE ADMVA'!F10</f>
        <v>6253525.3100000005</v>
      </c>
      <c r="G11" s="104">
        <f>'F6b. EAEPE ADMVA'!G10</f>
        <v>6229141.0199999996</v>
      </c>
      <c r="H11" s="104">
        <f>E11-F11</f>
        <v>0</v>
      </c>
    </row>
    <row r="12" spans="2:8">
      <c r="B12" s="103" t="s">
        <v>459</v>
      </c>
      <c r="C12" s="104"/>
      <c r="D12" s="104"/>
      <c r="E12" s="104"/>
      <c r="F12" s="105"/>
      <c r="G12" s="106"/>
      <c r="H12" s="105"/>
    </row>
    <row r="13" spans="2:8">
      <c r="B13" s="103" t="s">
        <v>460</v>
      </c>
      <c r="C13" s="104"/>
      <c r="D13" s="104"/>
      <c r="E13" s="104"/>
      <c r="F13" s="104"/>
      <c r="G13" s="106"/>
      <c r="H13" s="106"/>
    </row>
    <row r="14" spans="2:8">
      <c r="B14" s="107" t="s">
        <v>461</v>
      </c>
      <c r="C14" s="105"/>
      <c r="D14" s="105"/>
      <c r="E14" s="105"/>
      <c r="F14" s="105"/>
      <c r="G14" s="105"/>
      <c r="H14" s="105"/>
    </row>
    <row r="15" spans="2:8">
      <c r="B15" s="107" t="s">
        <v>462</v>
      </c>
      <c r="C15" s="104"/>
      <c r="D15" s="104"/>
      <c r="E15" s="104"/>
      <c r="F15" s="104"/>
      <c r="G15" s="106"/>
      <c r="H15" s="106"/>
    </row>
    <row r="16" spans="2:8">
      <c r="B16" s="103" t="s">
        <v>463</v>
      </c>
      <c r="C16" s="104"/>
      <c r="D16" s="104"/>
      <c r="E16" s="104"/>
      <c r="F16" s="104"/>
      <c r="G16" s="104"/>
      <c r="H16" s="104"/>
    </row>
    <row r="17" spans="2:8" ht="25.5">
      <c r="B17" s="103" t="s">
        <v>464</v>
      </c>
      <c r="C17" s="104"/>
      <c r="D17" s="104"/>
      <c r="E17" s="104"/>
      <c r="F17" s="104"/>
      <c r="G17" s="106"/>
      <c r="H17" s="106"/>
    </row>
    <row r="18" spans="2:8">
      <c r="B18" s="107" t="s">
        <v>465</v>
      </c>
      <c r="C18" s="104"/>
      <c r="D18" s="104"/>
      <c r="E18" s="104"/>
      <c r="F18" s="104"/>
      <c r="G18" s="106"/>
      <c r="H18" s="106"/>
    </row>
    <row r="19" spans="2:8">
      <c r="B19" s="107" t="s">
        <v>466</v>
      </c>
      <c r="C19" s="104"/>
      <c r="D19" s="104"/>
      <c r="E19" s="104"/>
      <c r="F19" s="104"/>
      <c r="G19" s="106"/>
      <c r="H19" s="106"/>
    </row>
    <row r="20" spans="2:8">
      <c r="B20" s="103" t="s">
        <v>467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9283612</v>
      </c>
      <c r="D22" s="109">
        <f t="shared" ref="D22:G22" si="1">D23+D24+D28+D29+D32</f>
        <v>1446866.93</v>
      </c>
      <c r="E22" s="109">
        <f t="shared" si="1"/>
        <v>10730478.93</v>
      </c>
      <c r="F22" s="109">
        <f t="shared" si="1"/>
        <v>10730478.930000002</v>
      </c>
      <c r="G22" s="109">
        <f t="shared" si="1"/>
        <v>10691208.410000002</v>
      </c>
      <c r="H22" s="109">
        <f>E22-F22</f>
        <v>0</v>
      </c>
    </row>
    <row r="23" spans="2:8">
      <c r="B23" s="103" t="s">
        <v>458</v>
      </c>
      <c r="C23" s="104">
        <f>'F6b. EAEPE ADMVA'!C21</f>
        <v>9283612</v>
      </c>
      <c r="D23" s="104">
        <f>'F6b. EAEPE ADMVA'!D21</f>
        <v>1446866.93</v>
      </c>
      <c r="E23" s="104">
        <f>C23+D23</f>
        <v>10730478.93</v>
      </c>
      <c r="F23" s="104">
        <f>'F6b. EAEPE ADMVA'!F21</f>
        <v>10730478.930000002</v>
      </c>
      <c r="G23" s="104">
        <f>'F6b. EAEPE ADMVA'!G21</f>
        <v>10691208.410000002</v>
      </c>
      <c r="H23" s="104">
        <f>E23-F23</f>
        <v>0</v>
      </c>
    </row>
    <row r="24" spans="2:8">
      <c r="B24" s="103" t="s">
        <v>459</v>
      </c>
      <c r="C24" s="104"/>
      <c r="D24" s="104"/>
      <c r="E24" s="104"/>
      <c r="F24" s="105"/>
      <c r="G24" s="106"/>
      <c r="H24" s="105"/>
    </row>
    <row r="25" spans="2:8">
      <c r="B25" s="103" t="s">
        <v>460</v>
      </c>
      <c r="C25" s="104"/>
      <c r="D25" s="104"/>
      <c r="E25" s="104"/>
      <c r="F25" s="104"/>
      <c r="G25" s="106"/>
      <c r="H25" s="106"/>
    </row>
    <row r="26" spans="2:8">
      <c r="B26" s="107" t="s">
        <v>461</v>
      </c>
      <c r="C26" s="104"/>
      <c r="D26" s="105"/>
      <c r="E26" s="111"/>
      <c r="F26" s="111"/>
      <c r="G26" s="106"/>
      <c r="H26" s="106"/>
    </row>
    <row r="27" spans="2:8">
      <c r="B27" s="107" t="s">
        <v>462</v>
      </c>
      <c r="C27" s="104"/>
      <c r="D27" s="104"/>
      <c r="E27" s="111"/>
      <c r="F27" s="111"/>
      <c r="G27" s="106"/>
      <c r="H27" s="106"/>
    </row>
    <row r="28" spans="2:8">
      <c r="B28" s="103" t="s">
        <v>463</v>
      </c>
      <c r="C28" s="104"/>
      <c r="D28" s="104"/>
      <c r="E28" s="104"/>
      <c r="F28" s="104"/>
      <c r="G28" s="104"/>
      <c r="H28" s="104"/>
    </row>
    <row r="29" spans="2:8" ht="25.5">
      <c r="B29" s="103" t="s">
        <v>468</v>
      </c>
      <c r="C29" s="104"/>
      <c r="D29" s="104"/>
      <c r="E29" s="104"/>
      <c r="F29" s="104"/>
      <c r="G29" s="106"/>
      <c r="H29" s="106"/>
    </row>
    <row r="30" spans="2:8">
      <c r="B30" s="112" t="s">
        <v>465</v>
      </c>
      <c r="C30" s="104"/>
      <c r="D30" s="104"/>
      <c r="E30" s="111"/>
      <c r="F30" s="111"/>
      <c r="G30" s="106"/>
      <c r="H30" s="106"/>
    </row>
    <row r="31" spans="2:8">
      <c r="B31" s="112" t="s">
        <v>466</v>
      </c>
      <c r="C31" s="104"/>
      <c r="D31" s="104"/>
      <c r="E31" s="111"/>
      <c r="F31" s="111"/>
      <c r="G31" s="106"/>
      <c r="H31" s="106"/>
    </row>
    <row r="32" spans="2:8">
      <c r="B32" s="103" t="s">
        <v>467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469</v>
      </c>
      <c r="C34" s="114">
        <f>C10+C22</f>
        <v>19407224</v>
      </c>
      <c r="D34" s="114">
        <f t="shared" ref="D34:F34" si="2">D10+D22</f>
        <v>-2423219.7599999998</v>
      </c>
      <c r="E34" s="114">
        <f t="shared" si="2"/>
        <v>16984004.240000002</v>
      </c>
      <c r="F34" s="114">
        <f t="shared" si="2"/>
        <v>16984004.240000002</v>
      </c>
      <c r="G34" s="114">
        <f>G10+G22</f>
        <v>16920349.43</v>
      </c>
      <c r="H34" s="114">
        <f>H10+H22</f>
        <v>0</v>
      </c>
    </row>
    <row r="35" spans="2:8">
      <c r="G35" s="344">
        <f>F34-G34</f>
        <v>63654.810000002384</v>
      </c>
    </row>
    <row r="36" spans="2:8" ht="15">
      <c r="B36" s="188" t="s">
        <v>518</v>
      </c>
      <c r="C36" s="272">
        <v>19407224</v>
      </c>
      <c r="D36" s="272">
        <v>1759873.9100000001</v>
      </c>
      <c r="E36" s="272">
        <v>21167097.91</v>
      </c>
      <c r="F36" s="272">
        <v>9620400.7199999988</v>
      </c>
      <c r="G36" s="272">
        <v>9544959.4800000004</v>
      </c>
      <c r="H36" s="272">
        <v>11546697.189999999</v>
      </c>
    </row>
    <row r="37" spans="2:8">
      <c r="B37" s="100" t="s">
        <v>517</v>
      </c>
    </row>
    <row r="39" spans="2:8">
      <c r="C39" s="344">
        <f>C36-C34</f>
        <v>0</v>
      </c>
      <c r="D39" s="344">
        <f t="shared" ref="D39:H39" si="3">D36-D34</f>
        <v>4183093.67</v>
      </c>
      <c r="E39" s="344">
        <f t="shared" si="3"/>
        <v>4183093.6699999981</v>
      </c>
      <c r="F39" s="344">
        <f t="shared" si="3"/>
        <v>-7363603.5200000033</v>
      </c>
      <c r="G39" s="344">
        <f t="shared" si="3"/>
        <v>-7375389.9499999993</v>
      </c>
      <c r="H39" s="344">
        <f t="shared" si="3"/>
        <v>11546697.189999999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2021-02-11T19:17:58Z</cp:lastPrinted>
  <dcterms:created xsi:type="dcterms:W3CDTF">2017-05-03T19:21:22Z</dcterms:created>
  <dcterms:modified xsi:type="dcterms:W3CDTF">2021-02-11T19:18:24Z</dcterms:modified>
</cp:coreProperties>
</file>